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7835" windowHeight="13500" tabRatio="500" firstSheet="5" activeTab="5"/>
  </bookViews>
  <sheets>
    <sheet name="ALV" sheetId="1" state="hidden" r:id="rId1"/>
    <sheet name="Taul1" sheetId="2" state="hidden" r:id="rId2"/>
    <sheet name="Taul2" sheetId="3" state="hidden" r:id="rId3"/>
    <sheet name="ALV2000" sheetId="4" state="hidden" r:id="rId4"/>
    <sheet name="ALV2000painot" sheetId="5" state="hidden" r:id="rId5"/>
    <sheet name="ALV2012" sheetId="6" r:id="rId6"/>
    <sheet name="Painot" sheetId="7" state="hidden" r:id="rId7"/>
    <sheet name="Pienpalvelut06" sheetId="8" state="hidden" r:id="rId8"/>
    <sheet name="2010 lista+painot" sheetId="9" state="hidden" r:id="rId9"/>
  </sheets>
  <definedNames/>
  <calcPr fullCalcOnLoad="1"/>
</workbook>
</file>

<file path=xl/comments6.xml><?xml version="1.0" encoding="utf-8"?>
<comments xmlns="http://schemas.openxmlformats.org/spreadsheetml/2006/main">
  <authors>
    <author>Silja Kahra</author>
  </authors>
  <commentList>
    <comment ref="A4" authorId="0">
      <text>
        <r>
          <rPr>
            <b/>
            <sz val="8"/>
            <rFont val="Tahoma"/>
            <family val="2"/>
          </rPr>
          <t xml:space="preserve">ALV-laskuri
Inflaatioasiantuntija Ilkka Lehtisen kehittämällä laskurilla voit itse tarkastella, miten alv-prosenttien muutokset vaikuttaisivat inflaatioon ja valtion verotuloihin. 
Laskurissa ovat valmiina nykyiset alv-prosentit. Syötä taulukkoon nykyisen alv-prosentin tilalle oma veroehdotuksesi yhdelle tai kaikille hyödykeryhmille. Laskuri näyttää välittömästi kuluttajahintaindeksin laskennallisen muutoksen hyödykeryhmittäin, indeksivaikutuksen sekä eurovaikutuksen valtion verotuloihin.
Laskurin tuottamat arviot eivät ole virallisia inflaatiolukuja ja vastuu niiden jatkokäytöstä on laskurin käyttäjällä.
</t>
        </r>
      </text>
    </comment>
  </commentList>
</comments>
</file>

<file path=xl/sharedStrings.xml><?xml version="1.0" encoding="utf-8"?>
<sst xmlns="http://schemas.openxmlformats.org/spreadsheetml/2006/main" count="3513" uniqueCount="1779">
  <si>
    <t>TILASTOKESKUS / Ilkka Lehtinen</t>
  </si>
  <si>
    <t xml:space="preserve"> 12.1.2001</t>
  </si>
  <si>
    <t>ALV:N MUUTOKSEN VAIKUTUS KULUTTAJAHINTAINDEKSIIN JA</t>
  </si>
  <si>
    <t>YKSITYISEN KULUTUKSEN ALV-KERTYMÄÄN VALTIOLLE</t>
  </si>
  <si>
    <t>Lähtökohtana on lokakuun 1999 kuluttajahintaindeksi 1995=100 ja ALV:n</t>
  </si>
  <si>
    <t>Vero-</t>
  </si>
  <si>
    <t xml:space="preserve">  Paino</t>
  </si>
  <si>
    <t xml:space="preserve">   Indeksi</t>
  </si>
  <si>
    <t>Ryhmän</t>
  </si>
  <si>
    <t>Vaikutus</t>
  </si>
  <si>
    <t>VEROTUOTON</t>
  </si>
  <si>
    <t>Huom.</t>
  </si>
  <si>
    <t>kanta</t>
  </si>
  <si>
    <t xml:space="preserve"> </t>
  </si>
  <si>
    <t xml:space="preserve">   12/2000</t>
  </si>
  <si>
    <t>hinnan-</t>
  </si>
  <si>
    <t>indeksiin</t>
  </si>
  <si>
    <t>MUUTOS</t>
  </si>
  <si>
    <t>%</t>
  </si>
  <si>
    <t xml:space="preserve">  o/oo</t>
  </si>
  <si>
    <t xml:space="preserve"> 1995=100</t>
  </si>
  <si>
    <t>muutos-%</t>
  </si>
  <si>
    <t xml:space="preserve">     %</t>
  </si>
  <si>
    <t>MRD</t>
  </si>
  <si>
    <t>Esim.</t>
  </si>
  <si>
    <t>Veroton hinta on 81,97 markkaa.</t>
  </si>
  <si>
    <t>Normaali ALV</t>
  </si>
  <si>
    <t>Verollinen hinta on…, jos alv on:</t>
  </si>
  <si>
    <t>Ravintolaruokailu</t>
  </si>
  <si>
    <t>Muut palvelut</t>
  </si>
  <si>
    <t>ALV-%</t>
  </si>
  <si>
    <t>Parturi/kampaamo</t>
  </si>
  <si>
    <t>Ravinto</t>
  </si>
  <si>
    <t>ALV, mk</t>
  </si>
  <si>
    <t>Kirja,lääke,majoi..</t>
  </si>
  <si>
    <t>Ilman alv</t>
  </si>
  <si>
    <t>Asum, terv, koul...</t>
  </si>
  <si>
    <t>Hinta</t>
  </si>
  <si>
    <t>Lehtien tilausmak.</t>
  </si>
  <si>
    <t>Muutos 22-%:</t>
  </si>
  <si>
    <t>YHT</t>
  </si>
  <si>
    <t>Verotuoton muutos:</t>
  </si>
  <si>
    <r>
      <t xml:space="preserve">Keskimääräinen ALV-prosentti </t>
    </r>
    <r>
      <rPr>
        <b/>
        <sz val="10"/>
        <rFont val="Arial"/>
        <family val="2"/>
      </rPr>
      <t>koko indeksin</t>
    </r>
    <r>
      <rPr>
        <sz val="10"/>
        <rFont val="Arial"/>
        <family val="2"/>
      </rPr>
      <t xml:space="preserve"> osalta on</t>
    </r>
  </si>
  <si>
    <t xml:space="preserve"> ALV-%</t>
  </si>
  <si>
    <r>
      <t xml:space="preserve">Niiden osalta, joissa  </t>
    </r>
    <r>
      <rPr>
        <b/>
        <sz val="10"/>
        <rFont val="Arial"/>
        <family val="2"/>
      </rPr>
      <t>ALV-prosentti on suurempi kuin 0</t>
    </r>
  </si>
  <si>
    <t>Verotuot</t>
  </si>
  <si>
    <t>RYHMÄ</t>
  </si>
  <si>
    <t>Yksityinen</t>
  </si>
  <si>
    <t>Hinta-</t>
  </si>
  <si>
    <t>Volyymin</t>
  </si>
  <si>
    <t xml:space="preserve">  Yksityinen</t>
  </si>
  <si>
    <t>kulutus 1995</t>
  </si>
  <si>
    <t>muutos</t>
  </si>
  <si>
    <t>muutos 95 - 99</t>
  </si>
  <si>
    <t xml:space="preserve">   kulutus 12/2000</t>
  </si>
  <si>
    <t>Erotus /</t>
  </si>
  <si>
    <t>Mrd</t>
  </si>
  <si>
    <t>1995-00</t>
  </si>
  <si>
    <r>
      <t>ARVIO</t>
    </r>
    <r>
      <rPr>
        <sz val="10"/>
        <rFont val="Arial"/>
        <family val="2"/>
      </rPr>
      <t xml:space="preserve"> (muuta)</t>
    </r>
  </si>
  <si>
    <r>
      <t xml:space="preserve">   Mrd, </t>
    </r>
    <r>
      <rPr>
        <b/>
        <sz val="10"/>
        <rFont val="Arial"/>
        <family val="2"/>
      </rPr>
      <t>arvio</t>
    </r>
  </si>
  <si>
    <t>Koko KHI</t>
  </si>
  <si>
    <t>Normaali</t>
  </si>
  <si>
    <t>Ravintolaruok.</t>
  </si>
  <si>
    <t>Parturi/kamp.</t>
  </si>
  <si>
    <t>17-%, Ravinto</t>
  </si>
  <si>
    <t>8-% hyödykk.</t>
  </si>
  <si>
    <t>0-% hyödykk.</t>
  </si>
  <si>
    <t>0-%, leht. tilau</t>
  </si>
  <si>
    <t>Muuttaa ALV-prosenttia ja volyymin muutosta haluamallasi tavalla.</t>
  </si>
  <si>
    <t>ALV-prosenttien jakuma KHI 1995=100</t>
  </si>
  <si>
    <t>Yhteensä</t>
  </si>
  <si>
    <t>25660794742792</t>
  </si>
  <si>
    <t>Muut</t>
  </si>
  <si>
    <t>Lehtien tilaukset</t>
  </si>
  <si>
    <t>4.1</t>
  </si>
  <si>
    <t>6.1.1.1</t>
  </si>
  <si>
    <t>4.2.1</t>
  </si>
  <si>
    <t>7.3.1</t>
  </si>
  <si>
    <t>4.2.2</t>
  </si>
  <si>
    <t>7.3.2</t>
  </si>
  <si>
    <t>6.2</t>
  </si>
  <si>
    <t>7.3.3.1.01</t>
  </si>
  <si>
    <t>6.3</t>
  </si>
  <si>
    <t>9.4.1.1</t>
  </si>
  <si>
    <t>7.2.4.1.02.02</t>
  </si>
  <si>
    <t>9.4.2</t>
  </si>
  <si>
    <t>7.2.4.1.03</t>
  </si>
  <si>
    <t>9.4.2.3.01</t>
  </si>
  <si>
    <t>7.2.4.1.04</t>
  </si>
  <si>
    <t>9.5.1</t>
  </si>
  <si>
    <t>7.3.3.1.02</t>
  </si>
  <si>
    <t>11.2.1</t>
  </si>
  <si>
    <t>7.3.4</t>
  </si>
  <si>
    <t>8.1.1.1.01.06</t>
  </si>
  <si>
    <t>07</t>
  </si>
  <si>
    <t>08</t>
  </si>
  <si>
    <t>09</t>
  </si>
  <si>
    <t>22 %</t>
  </si>
  <si>
    <t>9.4.3.1.01</t>
  </si>
  <si>
    <t>Kampaamo+part</t>
  </si>
  <si>
    <t>9.6</t>
  </si>
  <si>
    <t>12.1.1</t>
  </si>
  <si>
    <t>10</t>
  </si>
  <si>
    <t>12.3</t>
  </si>
  <si>
    <t>12.5</t>
  </si>
  <si>
    <t>12.6.1.1.01</t>
  </si>
  <si>
    <t>11.1.1.1.01</t>
  </si>
  <si>
    <t>03</t>
  </si>
  <si>
    <t>04</t>
  </si>
  <si>
    <t>12.6.1.2</t>
  </si>
  <si>
    <t>05</t>
  </si>
  <si>
    <t>9.5.2.1.01</t>
  </si>
  <si>
    <t>11.1.1.2</t>
  </si>
  <si>
    <t>02</t>
  </si>
  <si>
    <t>11.1.2</t>
  </si>
  <si>
    <t xml:space="preserve"> 29.1.2001</t>
  </si>
  <si>
    <t>ALKOHOLIVERON JA AUTOVERON LASKUN VAIKUTUS VALTION</t>
  </si>
  <si>
    <t>TULOIHIN JA KULUTTAJAHINTAINDEKSIIN, MUKANA EI KYSYNNÄN MUUTOSVAIKUTUKSIA</t>
  </si>
  <si>
    <t>Veron</t>
  </si>
  <si>
    <t>Vero,</t>
  </si>
  <si>
    <t xml:space="preserve"> Indeksi</t>
  </si>
  <si>
    <t>ALV-</t>
  </si>
  <si>
    <t xml:space="preserve">arvo </t>
  </si>
  <si>
    <t>per pullo/</t>
  </si>
  <si>
    <t xml:space="preserve"> 12/2000</t>
  </si>
  <si>
    <t>per pullo,</t>
  </si>
  <si>
    <t>TAPPIO</t>
  </si>
  <si>
    <t>mrd,</t>
  </si>
  <si>
    <t>litra</t>
  </si>
  <si>
    <t>mk/%</t>
  </si>
  <si>
    <t>1995=100</t>
  </si>
  <si>
    <t>kaupassa</t>
  </si>
  <si>
    <t>Viinit, 35 mk valkku</t>
  </si>
  <si>
    <t>Väkevät, kossu</t>
  </si>
  <si>
    <t>Olut, litra</t>
  </si>
  <si>
    <t>Ravintola-alkoholi</t>
  </si>
  <si>
    <t>Uudet autot</t>
  </si>
  <si>
    <t>Käytetyt autot *</t>
  </si>
  <si>
    <t xml:space="preserve"> * laskelmassa vain ALV-tappio, voi tulla jopa lisätuloja, jos käytettyjä autoja aletaan todella tuomaan</t>
  </si>
  <si>
    <t xml:space="preserve">   (67% laskettu maksavan ALV:n)</t>
  </si>
  <si>
    <t>verokanta 1.10.1999. Kysynnän mahdollisia muutoksia ei ole huomioitu.</t>
  </si>
  <si>
    <t xml:space="preserve"> 2000=100</t>
  </si>
  <si>
    <t>taso</t>
  </si>
  <si>
    <t>coicop</t>
  </si>
  <si>
    <t>nimi</t>
  </si>
  <si>
    <t>Milj. mk</t>
  </si>
  <si>
    <t>o/oo</t>
  </si>
  <si>
    <t>ALV</t>
  </si>
  <si>
    <t>KOKONAISINDEKSI</t>
  </si>
  <si>
    <t>01.1.1.1.1.1</t>
  </si>
  <si>
    <t>Puuroriisi</t>
  </si>
  <si>
    <t>01.1.1.1.1.2</t>
  </si>
  <si>
    <t>Pitkäjyväriisi</t>
  </si>
  <si>
    <t>01.1.1.2.1.1</t>
  </si>
  <si>
    <t>Näkkileipä</t>
  </si>
  <si>
    <t>01.1.1.2.1.2</t>
  </si>
  <si>
    <t>Reikäleipä</t>
  </si>
  <si>
    <t>01.1.1.2.1.3</t>
  </si>
  <si>
    <t>Pienet ruisleipäset</t>
  </si>
  <si>
    <t>01.1.1.2.1.4</t>
  </si>
  <si>
    <t>Jälkiuunileipä</t>
  </si>
  <si>
    <t>01.1.1.2.1.5</t>
  </si>
  <si>
    <t>Sekahiivaleipä</t>
  </si>
  <si>
    <t>01.1.1.2.1.6</t>
  </si>
  <si>
    <t>Paahtoleipä</t>
  </si>
  <si>
    <t>01.1.1.2.1.7</t>
  </si>
  <si>
    <t>Patonki</t>
  </si>
  <si>
    <t>01.1.1.2.2.1</t>
  </si>
  <si>
    <t>Pullapitko</t>
  </si>
  <si>
    <t>01.1.1.2.2.2</t>
  </si>
  <si>
    <t>Voileipäkeksi</t>
  </si>
  <si>
    <t>01.1.1.2.2.3</t>
  </si>
  <si>
    <t>Täytekeksi</t>
  </si>
  <si>
    <t>01.1.1.2.2.4</t>
  </si>
  <si>
    <t>Kääretorttu</t>
  </si>
  <si>
    <t>01.1.1.2.2.5</t>
  </si>
  <si>
    <t>Munkit</t>
  </si>
  <si>
    <t>01.1.1.2.2.6</t>
  </si>
  <si>
    <t>Leivoskeksit</t>
  </si>
  <si>
    <t>01.1.1.2.3.1</t>
  </si>
  <si>
    <t>Karjalanpiirakka</t>
  </si>
  <si>
    <t>01.1.1.2.3.2</t>
  </si>
  <si>
    <t>Pizza</t>
  </si>
  <si>
    <t>01.1.1.2.3.3</t>
  </si>
  <si>
    <t>Lihapiirakka</t>
  </si>
  <si>
    <t>01.1.1.3.1.1</t>
  </si>
  <si>
    <t>Makaroni</t>
  </si>
  <si>
    <t>01.1.1.3.1.2</t>
  </si>
  <si>
    <t>Spagetti</t>
  </si>
  <si>
    <t>01.1.1.3.1.3</t>
  </si>
  <si>
    <t>Kuviopasta</t>
  </si>
  <si>
    <t>01.1.1.3.2.1</t>
  </si>
  <si>
    <t>Lihamakaronilaatikko</t>
  </si>
  <si>
    <t>01.1.1.3.2.2</t>
  </si>
  <si>
    <t>Mikroruoka-annos</t>
  </si>
  <si>
    <t>01.1.1.4.1.1</t>
  </si>
  <si>
    <t>Erikoisvehnäjauhot</t>
  </si>
  <si>
    <t>01.1.1.4.1.2</t>
  </si>
  <si>
    <t>Ruisjauhot</t>
  </si>
  <si>
    <t>01.1.1.4.1.3</t>
  </si>
  <si>
    <t>Mannasuurimot</t>
  </si>
  <si>
    <t>01.1.1.4.2.1</t>
  </si>
  <si>
    <t>Maissihiutaleet</t>
  </si>
  <si>
    <t>01.1.1.4.2.2</t>
  </si>
  <si>
    <t>Myslit</t>
  </si>
  <si>
    <t>01.1.1.4.3.1</t>
  </si>
  <si>
    <t>Pakastetaikina</t>
  </si>
  <si>
    <t>01.1.1.4.4.1</t>
  </si>
  <si>
    <t>Kaurahiutaleet</t>
  </si>
  <si>
    <t>01.1.2.1.1.1</t>
  </si>
  <si>
    <t>Ulkopaisti</t>
  </si>
  <si>
    <t>01.1.2.1.1.2</t>
  </si>
  <si>
    <t>Naudan lapa</t>
  </si>
  <si>
    <t>01.1.2.1.1.3</t>
  </si>
  <si>
    <t>Jauheliha</t>
  </si>
  <si>
    <t>01.1.2.1.1.4</t>
  </si>
  <si>
    <t>Suikalepaisti</t>
  </si>
  <si>
    <t>01.1.2.1.1.5</t>
  </si>
  <si>
    <t>Naudan sisäfile</t>
  </si>
  <si>
    <t>01.1.2.2.1.1</t>
  </si>
  <si>
    <t>Porsaan ulkofile</t>
  </si>
  <si>
    <t>01.1.2.2.1.2</t>
  </si>
  <si>
    <t>Porsaankyljys</t>
  </si>
  <si>
    <t>01.1.2.2.1.3</t>
  </si>
  <si>
    <t>Porsaan suikaleliha</t>
  </si>
  <si>
    <t>01.1.2.3.1.1</t>
  </si>
  <si>
    <t>Broilerin koipi-reisipalat</t>
  </si>
  <si>
    <t>01.1.2.3.1.2</t>
  </si>
  <si>
    <t>Broilerin filesuikaleet</t>
  </si>
  <si>
    <t>01.1.2.4.1.1</t>
  </si>
  <si>
    <t>Riistakäristys</t>
  </si>
  <si>
    <t>01.1.2.5.1.1</t>
  </si>
  <si>
    <t>Palvikinkku</t>
  </si>
  <si>
    <t>01.1.2.5.1.2</t>
  </si>
  <si>
    <t>Keittokinkku</t>
  </si>
  <si>
    <t>01.1.2.5.1.3</t>
  </si>
  <si>
    <t>Meetvursti</t>
  </si>
  <si>
    <t>01.1.2.5.1.4</t>
  </si>
  <si>
    <t>Lauantaimakkara</t>
  </si>
  <si>
    <t>01.1.2.5.1.5</t>
  </si>
  <si>
    <t>Balkanin makkara</t>
  </si>
  <si>
    <t>01.1.2.5.1.6</t>
  </si>
  <si>
    <t>Kinkkumakkara</t>
  </si>
  <si>
    <t>01.1.2.5.1.7</t>
  </si>
  <si>
    <t xml:space="preserve">Kalkkunaleike </t>
  </si>
  <si>
    <t>01.1.2.5.2.1</t>
  </si>
  <si>
    <t>Nakit</t>
  </si>
  <si>
    <t>01.1.2.5.2.2</t>
  </si>
  <si>
    <t>Lenkkimakkara</t>
  </si>
  <si>
    <t>01.1.2.5.2.3</t>
  </si>
  <si>
    <t>Grillimakkara</t>
  </si>
  <si>
    <t>01.1.2.6.1.1</t>
  </si>
  <si>
    <t>Jauhelihaeines</t>
  </si>
  <si>
    <t>01.1.2.6.1.2</t>
  </si>
  <si>
    <t>Maksamakkara</t>
  </si>
  <si>
    <t>01.1.2.6.1.3</t>
  </si>
  <si>
    <t>Pekoni</t>
  </si>
  <si>
    <t>01.1.3.1.1.1</t>
  </si>
  <si>
    <t>Tuore kala</t>
  </si>
  <si>
    <t>01.1.3.1.1.2</t>
  </si>
  <si>
    <t>Kirjolohifile</t>
  </si>
  <si>
    <t>01.1.3.1.2.1</t>
  </si>
  <si>
    <t>Pakasteseiti</t>
  </si>
  <si>
    <t>01.1.3.1.2.2</t>
  </si>
  <si>
    <t>Kalapuikot</t>
  </si>
  <si>
    <t>01.1.3.1.3.1</t>
  </si>
  <si>
    <t>Kylmäsavukirjolohifile</t>
  </si>
  <si>
    <t>01.1.3.1.3.2</t>
  </si>
  <si>
    <t>Sillisäilykepurkki</t>
  </si>
  <si>
    <t>01.1.3.1.3.3</t>
  </si>
  <si>
    <t>Tonnikala</t>
  </si>
  <si>
    <t>01.1.3.2.1.1</t>
  </si>
  <si>
    <t>Katkaravut</t>
  </si>
  <si>
    <t>01.1.4.1.1.1</t>
  </si>
  <si>
    <t>Täysmaito</t>
  </si>
  <si>
    <t>01.1.4.1.2.1</t>
  </si>
  <si>
    <t>Kevytmaito</t>
  </si>
  <si>
    <t>01.1.4.1.2.2</t>
  </si>
  <si>
    <t>Rasvaton maito</t>
  </si>
  <si>
    <t>01.1.4.1.3.1</t>
  </si>
  <si>
    <t>Rasvaton piimä</t>
  </si>
  <si>
    <t>01.1.4.1.3.2</t>
  </si>
  <si>
    <t>Asidofilus-Bifidus-piimä</t>
  </si>
  <si>
    <t>01.1.4.2.1.1</t>
  </si>
  <si>
    <t>Emmentaljuusto</t>
  </si>
  <si>
    <t>01.1.4.2.1.2</t>
  </si>
  <si>
    <t>Edamjuusto</t>
  </si>
  <si>
    <t>01.1.4.2.1.3</t>
  </si>
  <si>
    <t>Oltermanni-tyyppinen juusto</t>
  </si>
  <si>
    <t>01.1.4.2.1.4</t>
  </si>
  <si>
    <t>Sinihomejuusto</t>
  </si>
  <si>
    <t>01.1.4.2.2.1</t>
  </si>
  <si>
    <t>Raejuusto</t>
  </si>
  <si>
    <t>01.1.4.2.2.2</t>
  </si>
  <si>
    <t>Sulatejuusto</t>
  </si>
  <si>
    <t>01.1.4.3.1.1</t>
  </si>
  <si>
    <t>Jogurttipurkki</t>
  </si>
  <si>
    <t>01.1.4.3.1.2</t>
  </si>
  <si>
    <t>Rasvaton jogurttitölkki</t>
  </si>
  <si>
    <t>01.1.4.3.2.1</t>
  </si>
  <si>
    <t>Kuohukerma</t>
  </si>
  <si>
    <t>01.1.4.3.2.2</t>
  </si>
  <si>
    <t>Ruokacreme</t>
  </si>
  <si>
    <t>01.1.4.3.3.1</t>
  </si>
  <si>
    <t>Viili</t>
  </si>
  <si>
    <t>01.1.4.3.3.2</t>
  </si>
  <si>
    <t>Kermaviili</t>
  </si>
  <si>
    <t>01.1.4.3.3.3</t>
  </si>
  <si>
    <t xml:space="preserve">Ranskankerma </t>
  </si>
  <si>
    <t>01.1.4.3.3.4</t>
  </si>
  <si>
    <t>Maitorahka</t>
  </si>
  <si>
    <t>01.1.4.3.4.1</t>
  </si>
  <si>
    <t>Äidinmaidonkorvike</t>
  </si>
  <si>
    <t>01.1.4.3.4.2</t>
  </si>
  <si>
    <t>Jälkiruokavanukas</t>
  </si>
  <si>
    <t>01.1.4.4.1.1</t>
  </si>
  <si>
    <t>Kananmunat</t>
  </si>
  <si>
    <t>01.1.5.1.1.1</t>
  </si>
  <si>
    <t>Meijerivoi</t>
  </si>
  <si>
    <t>01.1.5.2.1.1</t>
  </si>
  <si>
    <t>Voi-kasviöljyseos</t>
  </si>
  <si>
    <t>01.1.5.2.1.2</t>
  </si>
  <si>
    <t>Talousmargariini</t>
  </si>
  <si>
    <t>01.1.5.2.1.3</t>
  </si>
  <si>
    <t>Jääkaappimargariini</t>
  </si>
  <si>
    <t>01.1.5.2.1.4</t>
  </si>
  <si>
    <t>Kevytmargariini</t>
  </si>
  <si>
    <t>01.1.5.3.1.1</t>
  </si>
  <si>
    <t>Rypsiöljy</t>
  </si>
  <si>
    <t>01.1.5.3.1.2</t>
  </si>
  <si>
    <t>Oliiviöljy</t>
  </si>
  <si>
    <t>01.1.6.1.1.1</t>
  </si>
  <si>
    <t>Appelsiini</t>
  </si>
  <si>
    <t>01.1.6.1.1.2</t>
  </si>
  <si>
    <t>Mandariini</t>
  </si>
  <si>
    <t>01.1.6.1.2.1</t>
  </si>
  <si>
    <t>Banaani</t>
  </si>
  <si>
    <t>01.1.6.1.3.1</t>
  </si>
  <si>
    <t>Omena</t>
  </si>
  <si>
    <t>01.1.6.1.4.1</t>
  </si>
  <si>
    <t>Rypäleet</t>
  </si>
  <si>
    <t>01.1.6.2.1.1</t>
  </si>
  <si>
    <t>Mansikka</t>
  </si>
  <si>
    <t>01.1.6.2.1.2</t>
  </si>
  <si>
    <t>Marjapakasteet</t>
  </si>
  <si>
    <t>01.1.6.2.1.3</t>
  </si>
  <si>
    <t>Jälkiruokakeitto</t>
  </si>
  <si>
    <t>01.1.6.3.1.1</t>
  </si>
  <si>
    <t>Rusinat</t>
  </si>
  <si>
    <t>01.1.6.3.1.2</t>
  </si>
  <si>
    <t>Mantelit</t>
  </si>
  <si>
    <t>01.1.6.3.2.1</t>
  </si>
  <si>
    <t>Hedelmäsäilyke</t>
  </si>
  <si>
    <t>01.1.7.1.1.1</t>
  </si>
  <si>
    <t>Jäävuorisalaatti</t>
  </si>
  <si>
    <t>01.1.7.1.1.2</t>
  </si>
  <si>
    <t>Ruukkusalaatti</t>
  </si>
  <si>
    <t>01.1.7.1.1.3</t>
  </si>
  <si>
    <t>Tuoreyrtti</t>
  </si>
  <si>
    <t>01.1.7.2.1.1</t>
  </si>
  <si>
    <t>Kukkakaali</t>
  </si>
  <si>
    <t>01.1.7.3.1.1</t>
  </si>
  <si>
    <t>Tomaatti</t>
  </si>
  <si>
    <t>01.1.7.3.1.2</t>
  </si>
  <si>
    <t>Kurkku</t>
  </si>
  <si>
    <t>01.1.7.3.1.3</t>
  </si>
  <si>
    <t>Paprika</t>
  </si>
  <si>
    <t>01.1.7.3.2.1</t>
  </si>
  <si>
    <t>Pakastevihannekset</t>
  </si>
  <si>
    <t>01.1.7.3.3.1</t>
  </si>
  <si>
    <t>Tomaattisäilyke</t>
  </si>
  <si>
    <t>01.1.7.4.1.1</t>
  </si>
  <si>
    <t>Porkkana</t>
  </si>
  <si>
    <t>01.1.7.4.1.2</t>
  </si>
  <si>
    <t>Sipuli</t>
  </si>
  <si>
    <t>01.1.7.4.2.1</t>
  </si>
  <si>
    <t>Tuore herkkusieni</t>
  </si>
  <si>
    <t>01.1.7.5.1.1</t>
  </si>
  <si>
    <t>Maustekurkut</t>
  </si>
  <si>
    <t>01.1.7.5.1.2</t>
  </si>
  <si>
    <t>Italiansalaatti</t>
  </si>
  <si>
    <t>01.1.7.5.1.3</t>
  </si>
  <si>
    <t>Lasten purkkiruoka</t>
  </si>
  <si>
    <t>01.1.7.6.1.1</t>
  </si>
  <si>
    <t>Ruokaperuna</t>
  </si>
  <si>
    <t>01.1.7.6.2.1</t>
  </si>
  <si>
    <t>Ranskalaiset perunat</t>
  </si>
  <si>
    <t>01.1.7.6.2.2</t>
  </si>
  <si>
    <t>Perunalastut</t>
  </si>
  <si>
    <t>01.1.8.1.1.1</t>
  </si>
  <si>
    <t>Hienosokeri</t>
  </si>
  <si>
    <t>01.1.8.1.1.2</t>
  </si>
  <si>
    <t>Makeutusaine</t>
  </si>
  <si>
    <t>01.1.8.2.1.1</t>
  </si>
  <si>
    <t>Mansikkahillo</t>
  </si>
  <si>
    <t>01.1.8.2.1.2</t>
  </si>
  <si>
    <t>Hunaja</t>
  </si>
  <si>
    <t>01.1.8.2.1.3</t>
  </si>
  <si>
    <t>Marmeladi</t>
  </si>
  <si>
    <t>01.1.8.3.1.1</t>
  </si>
  <si>
    <t>Suklaalevy</t>
  </si>
  <si>
    <t>01.1.8.3.1.2</t>
  </si>
  <si>
    <t>Suklaapatukka</t>
  </si>
  <si>
    <t>01.1.8.3.2.1</t>
  </si>
  <si>
    <t>Karamelliaski</t>
  </si>
  <si>
    <t>01.1.8.3.2.2</t>
  </si>
  <si>
    <t>Makeispussi</t>
  </si>
  <si>
    <t>01.1.8.3.2.3</t>
  </si>
  <si>
    <t>Ksylitolipurukumi</t>
  </si>
  <si>
    <t>01.1.8.3.2.4</t>
  </si>
  <si>
    <t>Irtomakeiset</t>
  </si>
  <si>
    <t>01.1.8.4.1.1</t>
  </si>
  <si>
    <t>Kermajäätelö</t>
  </si>
  <si>
    <t>01.1.8.4.1.2</t>
  </si>
  <si>
    <t>Jäätelötuutti</t>
  </si>
  <si>
    <t>01.1.8.4.1.3</t>
  </si>
  <si>
    <t>Kasvisrasvajäätelö</t>
  </si>
  <si>
    <t>01.1.8.4.1.4</t>
  </si>
  <si>
    <t>Gourmet-jäätelö</t>
  </si>
  <si>
    <t>01.1.9.1.1.1</t>
  </si>
  <si>
    <t>Liemitiiviste</t>
  </si>
  <si>
    <t>01.1.9.1.1.2</t>
  </si>
  <si>
    <t>Sinappi</t>
  </si>
  <si>
    <t>01.1.9.1.1.3</t>
  </si>
  <si>
    <t>Tomaattikastike</t>
  </si>
  <si>
    <t>01.1.9.1.1.4</t>
  </si>
  <si>
    <t>Salaattikastike</t>
  </si>
  <si>
    <t>01.1.9.1.2.1</t>
  </si>
  <si>
    <t>Maustepippuri</t>
  </si>
  <si>
    <t>01.1.9.1.2.2</t>
  </si>
  <si>
    <t>Jauhettu kaneli</t>
  </si>
  <si>
    <t>01.1.9.1.2.3</t>
  </si>
  <si>
    <t>Suola</t>
  </si>
  <si>
    <t>01.1.9.1.2.4</t>
  </si>
  <si>
    <t>Curry</t>
  </si>
  <si>
    <t>01.1.9.2.1.1</t>
  </si>
  <si>
    <t>Hernekeittopurkki</t>
  </si>
  <si>
    <t>01.1.9.2.1.2</t>
  </si>
  <si>
    <t>Pussikeitto</t>
  </si>
  <si>
    <t>01.1.9.2.1.3</t>
  </si>
  <si>
    <t>Hiiva</t>
  </si>
  <si>
    <t>01.2.1.1.1.1</t>
  </si>
  <si>
    <t>Kahvipaketti</t>
  </si>
  <si>
    <t>01.2.1.2.1.1</t>
  </si>
  <si>
    <t>Tee</t>
  </si>
  <si>
    <t>01.2.1.3.1.1</t>
  </si>
  <si>
    <t>Kaakao</t>
  </si>
  <si>
    <t>01.2.2.1.1.1</t>
  </si>
  <si>
    <t>Kivennäisvesi</t>
  </si>
  <si>
    <t>01.2.2.2.1.1</t>
  </si>
  <si>
    <t>Kasvisuutejuoma</t>
  </si>
  <si>
    <t>01.2.2.2.1.2</t>
  </si>
  <si>
    <t>Appelsiinilimonadi</t>
  </si>
  <si>
    <t>01.2.2.3.1.1</t>
  </si>
  <si>
    <t>Sekamehutiiviste</t>
  </si>
  <si>
    <t>MK</t>
  </si>
  <si>
    <t>01.2.2.3.1.2</t>
  </si>
  <si>
    <t>Appelsiinitäysmehu</t>
  </si>
  <si>
    <t>01.2.2.3.1.3</t>
  </si>
  <si>
    <t>Pillimehu</t>
  </si>
  <si>
    <t>02.1.1.1.1.1</t>
  </si>
  <si>
    <t>Viina</t>
  </si>
  <si>
    <t>02.1.2.1.1.1</t>
  </si>
  <si>
    <t>Viini</t>
  </si>
  <si>
    <t>02.1.2.1.2.1</t>
  </si>
  <si>
    <t>Siideri</t>
  </si>
  <si>
    <t>02.1.3.1.1.1</t>
  </si>
  <si>
    <t>Olut</t>
  </si>
  <si>
    <t>02.2.0.1.1.1</t>
  </si>
  <si>
    <t>Savukkeet</t>
  </si>
  <si>
    <t>02.2.0.2.1.1</t>
  </si>
  <si>
    <t>Sikarit</t>
  </si>
  <si>
    <t>02.2.0.3.1.1</t>
  </si>
  <si>
    <t>Piippu- ja savuketupakka</t>
  </si>
  <si>
    <t>03.1.1.1.1.1</t>
  </si>
  <si>
    <t>Vaatekangas</t>
  </si>
  <si>
    <t>03.1.2.1.1.1</t>
  </si>
  <si>
    <t>Miesten puku</t>
  </si>
  <si>
    <t>03.1.2.1.1.2</t>
  </si>
  <si>
    <t>Miesten pikkutakki</t>
  </si>
  <si>
    <t>03.1.2.1.2.1</t>
  </si>
  <si>
    <t>Miesten suorat housut</t>
  </si>
  <si>
    <t>03.1.2.1.2.2</t>
  </si>
  <si>
    <t>Miesten vapaa-ajan housut</t>
  </si>
  <si>
    <t>03.1.2.1.3.1</t>
  </si>
  <si>
    <t>Miesten neulepusero</t>
  </si>
  <si>
    <t>03.1.2.1.3.2</t>
  </si>
  <si>
    <t>Miesten vapaa-ajan paita</t>
  </si>
  <si>
    <t>03.1.2.1.3.3</t>
  </si>
  <si>
    <t>Miesten pukupaita</t>
  </si>
  <si>
    <t>03.1.2.1.3.4</t>
  </si>
  <si>
    <t>Miesten kesäpaita</t>
  </si>
  <si>
    <t>03.1.2.1.3.5</t>
  </si>
  <si>
    <t>Miesten college</t>
  </si>
  <si>
    <t>03.1.2.1.3.6</t>
  </si>
  <si>
    <t>Miesten t-paita</t>
  </si>
  <si>
    <t>03.1.2.1.4.1</t>
  </si>
  <si>
    <t>Miesten alushousut</t>
  </si>
  <si>
    <t>03.1.2.1.4.2</t>
  </si>
  <si>
    <t>Miesten nilkkasukat</t>
  </si>
  <si>
    <t>03.1.2.1.4.3</t>
  </si>
  <si>
    <t>Miesten yöasu</t>
  </si>
  <si>
    <t>03.1.2.1.5.1</t>
  </si>
  <si>
    <t>Miesten ulkoilutakki</t>
  </si>
  <si>
    <t>03.1.2.1.5.2</t>
  </si>
  <si>
    <t>Laskettelutakki</t>
  </si>
  <si>
    <t>03.1.2.1.5.3</t>
  </si>
  <si>
    <t>Lasketteluhousut</t>
  </si>
  <si>
    <t>03.1.2.2.1.1</t>
  </si>
  <si>
    <t>Mekko</t>
  </si>
  <si>
    <t>03.1.2.2.1.2</t>
  </si>
  <si>
    <t>Naisten bleiseri</t>
  </si>
  <si>
    <t>03.1.2.2.2.1</t>
  </si>
  <si>
    <t>Hame</t>
  </si>
  <si>
    <t>03.1.2.2.2.2</t>
  </si>
  <si>
    <t>Naisten pitkäthousut</t>
  </si>
  <si>
    <t>03.1.2.2.3.1</t>
  </si>
  <si>
    <t>Naisten neulepusero</t>
  </si>
  <si>
    <t>03.1.2.2.3.2</t>
  </si>
  <si>
    <t>Naisten paitapusero</t>
  </si>
  <si>
    <t>03.1.2.2.3.3</t>
  </si>
  <si>
    <t>Naisten t-paita</t>
  </si>
  <si>
    <t>03.1.2.2.3.4</t>
  </si>
  <si>
    <t>Naisten trikoopusero</t>
  </si>
  <si>
    <t>03.1.2.2.3.5</t>
  </si>
  <si>
    <t>Naisten neuletakki</t>
  </si>
  <si>
    <t>03.1.2.2.4.1</t>
  </si>
  <si>
    <t>Naisten pikkuhousut</t>
  </si>
  <si>
    <t>03.1.2.2.4.2</t>
  </si>
  <si>
    <t>Rintaliivit</t>
  </si>
  <si>
    <t>03.1.2.2.4.3</t>
  </si>
  <si>
    <t>Bikinit</t>
  </si>
  <si>
    <t>03.1.2.2.4.4</t>
  </si>
  <si>
    <t>Naisten yöpuku</t>
  </si>
  <si>
    <t>03.1.2.2.4.5</t>
  </si>
  <si>
    <t>Naisten nilkkasukat</t>
  </si>
  <si>
    <t>03.1.2.2.4.6</t>
  </si>
  <si>
    <t>Yhdenkoon sukkahousut</t>
  </si>
  <si>
    <t>03.1.2.2.5.1</t>
  </si>
  <si>
    <t>Naisten talvitakki</t>
  </si>
  <si>
    <t>03.1.2.2.5.2</t>
  </si>
  <si>
    <t>Naisten kesätakki</t>
  </si>
  <si>
    <t>03.1.2.2.5.3</t>
  </si>
  <si>
    <t>Veryttelypuku</t>
  </si>
  <si>
    <t>03.1.2.2.5.4</t>
  </si>
  <si>
    <t>Tuulipuku</t>
  </si>
  <si>
    <t>03.1.2.3.1.1</t>
  </si>
  <si>
    <t>Nuorisofarkut</t>
  </si>
  <si>
    <t>03.1.2.3.1.2</t>
  </si>
  <si>
    <t>Lasten collegepusero</t>
  </si>
  <si>
    <t>03.1.2.3.1.3</t>
  </si>
  <si>
    <t>Lasten t-paita</t>
  </si>
  <si>
    <t>03.1.2.3.1.4</t>
  </si>
  <si>
    <t>Tyttöjen neule</t>
  </si>
  <si>
    <t>03.1.2.3.1.5</t>
  </si>
  <si>
    <t>Poikien housut</t>
  </si>
  <si>
    <t>03.1.2.3.2.1</t>
  </si>
  <si>
    <t>Lasten suojapuku</t>
  </si>
  <si>
    <t>03.1.3.1.1.1</t>
  </si>
  <si>
    <t>Solmio</t>
  </si>
  <si>
    <t>03.1.3.1.1.2</t>
  </si>
  <si>
    <t>Naisten huivi</t>
  </si>
  <si>
    <t>03.1.3.1.2.1</t>
  </si>
  <si>
    <t>Naisten hattu</t>
  </si>
  <si>
    <t>03.1.3.1.3.1</t>
  </si>
  <si>
    <t>Naisten nahkakäsineet</t>
  </si>
  <si>
    <t>03.1.3.1.4.1</t>
  </si>
  <si>
    <t>Lankarulla</t>
  </si>
  <si>
    <t>03.1.4.1.1.1</t>
  </si>
  <si>
    <t>Kemiallinen pesu</t>
  </si>
  <si>
    <t>03.2.1.1.1.1</t>
  </si>
  <si>
    <t>Lenkkitossut</t>
  </si>
  <si>
    <t>03.2.1.1.1.2</t>
  </si>
  <si>
    <t>Miesten kävelykengät</t>
  </si>
  <si>
    <t>03.2.1.1.1.3</t>
  </si>
  <si>
    <t>Miesten talvikengät</t>
  </si>
  <si>
    <t>03.2.1.1.2.1</t>
  </si>
  <si>
    <t>Naisten kävelykengät</t>
  </si>
  <si>
    <t>03.2.1.1.2.2</t>
  </si>
  <si>
    <t>Avokkaat</t>
  </si>
  <si>
    <t>03.2.1.1.2.3</t>
  </si>
  <si>
    <t>Naisten talvikengät</t>
  </si>
  <si>
    <t>03.2.1.1.2.4</t>
  </si>
  <si>
    <t>Naisten sandaalit</t>
  </si>
  <si>
    <t>03.2.1.1.3.1</t>
  </si>
  <si>
    <t>Nuorisokengät</t>
  </si>
  <si>
    <t>03.2.1.1.3.2</t>
  </si>
  <si>
    <t>Lasten kävelykengät</t>
  </si>
  <si>
    <t>03.2.2.1.1.1</t>
  </si>
  <si>
    <t>Jalkineiden korjaus</t>
  </si>
  <si>
    <t>04.1.1.1.1.1</t>
  </si>
  <si>
    <t>Vuokrat</t>
  </si>
  <si>
    <t>04.2.1.1.1.1</t>
  </si>
  <si>
    <t>Osakehuoneisto</t>
  </si>
  <si>
    <t>04.2.1.1.2.1</t>
  </si>
  <si>
    <t>Kiinteistö</t>
  </si>
  <si>
    <t>04.2.2.1.1.1</t>
  </si>
  <si>
    <t>Asuinkerrostalon julkisivuremontti</t>
  </si>
  <si>
    <t>04.2.2.1.1.2</t>
  </si>
  <si>
    <t>Putkiremontti</t>
  </si>
  <si>
    <t>04.2.2.1.2.1</t>
  </si>
  <si>
    <t>Asuntoremontti, osakehuoneistot</t>
  </si>
  <si>
    <t>04.2.2.1.2.2</t>
  </si>
  <si>
    <t>Asuntoremontti, kiinteistöt</t>
  </si>
  <si>
    <t>04.2.2.1.2.3</t>
  </si>
  <si>
    <t>Omakotitalon peruskorjaus</t>
  </si>
  <si>
    <t>04.2.3.1.1.1</t>
  </si>
  <si>
    <t>Asuntolainojen korot</t>
  </si>
  <si>
    <t>04.2.4.1.1.1</t>
  </si>
  <si>
    <t>Kiinteistönvälitysmaksu</t>
  </si>
  <si>
    <t>04.2.4.1.1.2</t>
  </si>
  <si>
    <t>Omakotitalon palovakuutus</t>
  </si>
  <si>
    <t>04.2.4.1.1.3</t>
  </si>
  <si>
    <t>Tontin vuokra</t>
  </si>
  <si>
    <t>04.3.1.1.1.1</t>
  </si>
  <si>
    <t>Tapetti</t>
  </si>
  <si>
    <t>04.3.1.1.1.2</t>
  </si>
  <si>
    <t>Maali</t>
  </si>
  <si>
    <t>04.3.1.1.1.3</t>
  </si>
  <si>
    <t>Laminaatti</t>
  </si>
  <si>
    <t>04.3.1.1.1.4</t>
  </si>
  <si>
    <t>Kestopuu</t>
  </si>
  <si>
    <t>04.3.1.1.1.5</t>
  </si>
  <si>
    <t>Muut materiaalit</t>
  </si>
  <si>
    <t>04.3.2.1.1.1</t>
  </si>
  <si>
    <t>Korjaukset, työ</t>
  </si>
  <si>
    <t>04.4.1.1.1.1</t>
  </si>
  <si>
    <t>Vesimaksu</t>
  </si>
  <si>
    <t>04.4.2.1.1.1</t>
  </si>
  <si>
    <t>Jätteen kuljetus</t>
  </si>
  <si>
    <t>04.4.3.1.1.1</t>
  </si>
  <si>
    <t>Jätevesimaksu</t>
  </si>
  <si>
    <t>04.4.4.1.1.1</t>
  </si>
  <si>
    <t>Hoitovastike</t>
  </si>
  <si>
    <t>04.4.4.1.1.2</t>
  </si>
  <si>
    <t>Nuohous</t>
  </si>
  <si>
    <t>04.5.1.1.1.1</t>
  </si>
  <si>
    <t>Sähkö</t>
  </si>
  <si>
    <t>04.5.3.1.1.1</t>
  </si>
  <si>
    <t>Kevyt polttoöljy</t>
  </si>
  <si>
    <t>04.5.5.1.1.1</t>
  </si>
  <si>
    <t>Kaukolämpö</t>
  </si>
  <si>
    <t>05.1.1.1.1.1</t>
  </si>
  <si>
    <t>Ruokapöytä</t>
  </si>
  <si>
    <t>05.1.1.1.1.2</t>
  </si>
  <si>
    <t>Sohvapöytä</t>
  </si>
  <si>
    <t>05.1.1.1.1.3</t>
  </si>
  <si>
    <t>Sohva</t>
  </si>
  <si>
    <t>05.1.1.1.1.4</t>
  </si>
  <si>
    <t>Kirjahylly</t>
  </si>
  <si>
    <t>05.1.1.1.1.5</t>
  </si>
  <si>
    <t>Sänky</t>
  </si>
  <si>
    <t>05.1.1.1.1.6</t>
  </si>
  <si>
    <t>Lipasto</t>
  </si>
  <si>
    <t>05.1.1.1.1.7</t>
  </si>
  <si>
    <t>Joustinpatja</t>
  </si>
  <si>
    <t>05.1.1.1.2.1</t>
  </si>
  <si>
    <t>Kattovalaisin</t>
  </si>
  <si>
    <t>05.1.1.1.2.2</t>
  </si>
  <si>
    <t>Pöytävalaisin</t>
  </si>
  <si>
    <t>05.1.1.1.2.3</t>
  </si>
  <si>
    <t>Puutarhakalusteet</t>
  </si>
  <si>
    <t>05.1.1.1.2.4</t>
  </si>
  <si>
    <t>Peili</t>
  </si>
  <si>
    <t>05.1.2.1.1.1</t>
  </si>
  <si>
    <t>Puuvillamatto</t>
  </si>
  <si>
    <t>05.1.3.1.1.1</t>
  </si>
  <si>
    <t>Huonekalun korjaus</t>
  </si>
  <si>
    <t>05.2.0.1.1.1</t>
  </si>
  <si>
    <t>Vuodepeite</t>
  </si>
  <si>
    <t>05.2.0.1.1.2</t>
  </si>
  <si>
    <t>Pussilakana</t>
  </si>
  <si>
    <t>05.2.0.1.2.1</t>
  </si>
  <si>
    <t>Kylpypyyhe</t>
  </si>
  <si>
    <t>05.2.0.1.2.2</t>
  </si>
  <si>
    <t>Verhot</t>
  </si>
  <si>
    <t>05.3.1.1.1.1</t>
  </si>
  <si>
    <t>Jääkaappipakastin</t>
  </si>
  <si>
    <t>05.3.1.1.1.2</t>
  </si>
  <si>
    <t>Astianpesukone</t>
  </si>
  <si>
    <t>05.3.1.1.1.3</t>
  </si>
  <si>
    <t>Sähköliesi</t>
  </si>
  <si>
    <t>05.3.1.1.1.4</t>
  </si>
  <si>
    <t>Pesukone</t>
  </si>
  <si>
    <t>05.3.1.1.1.5</t>
  </si>
  <si>
    <t>Jääviileäkaappi</t>
  </si>
  <si>
    <t>05.3.1.1.2.1</t>
  </si>
  <si>
    <t>Mikroaaltouuni</t>
  </si>
  <si>
    <t>05.3.1.1.2.2</t>
  </si>
  <si>
    <t>Pölynimuri</t>
  </si>
  <si>
    <t>05.3.1.1.2.3</t>
  </si>
  <si>
    <t>Sähkökiuas</t>
  </si>
  <si>
    <t>05.3.2.1.1.1</t>
  </si>
  <si>
    <t>Monitoimikone</t>
  </si>
  <si>
    <t>05.3.2.1.1.2</t>
  </si>
  <si>
    <t>Kahvinkeitin</t>
  </si>
  <si>
    <t>05.3.2.1.1.3</t>
  </si>
  <si>
    <t>Höyrysilitysrauta</t>
  </si>
  <si>
    <t>05.3.3.1.1.1</t>
  </si>
  <si>
    <t>Pesukoneen korjaus</t>
  </si>
  <si>
    <t>05.4.1.1.1.1</t>
  </si>
  <si>
    <t>Ruokalautanen</t>
  </si>
  <si>
    <t>05.4.1.1.1.2</t>
  </si>
  <si>
    <t>Juomalasi</t>
  </si>
  <si>
    <t>05.4.1.1.1.3</t>
  </si>
  <si>
    <t>Muki</t>
  </si>
  <si>
    <t>05.4.1.1.2.1</t>
  </si>
  <si>
    <t>Veitset ja haarukat</t>
  </si>
  <si>
    <t>05.4.1.1.3.1</t>
  </si>
  <si>
    <t>Paistinpannu</t>
  </si>
  <si>
    <t>05.4.1.1.3.2</t>
  </si>
  <si>
    <t>Teräskattila</t>
  </si>
  <si>
    <t>05.4.1.1.3.3</t>
  </si>
  <si>
    <t>Keittiöveitsi</t>
  </si>
  <si>
    <t>05.5.1.1.1.1</t>
  </si>
  <si>
    <t xml:space="preserve">Iskuporakone </t>
  </si>
  <si>
    <t>05.5.1.1.1.2</t>
  </si>
  <si>
    <t>Nurmikon trimmeri</t>
  </si>
  <si>
    <t>05.5.2.1.1.1</t>
  </si>
  <si>
    <t>Voimasakset</t>
  </si>
  <si>
    <t>05.5.2.1.2.1</t>
  </si>
  <si>
    <t>Hehkulamppu</t>
  </si>
  <si>
    <t>05.5.2.1.2.2</t>
  </si>
  <si>
    <t>Paristot</t>
  </si>
  <si>
    <t>05.6.1.1.1.1</t>
  </si>
  <si>
    <t>Konetiskiaine</t>
  </si>
  <si>
    <t>05.6.1.1.1.2</t>
  </si>
  <si>
    <t>Pyykinpesuaine</t>
  </si>
  <si>
    <t>05.6.1.1.1.3</t>
  </si>
  <si>
    <t>Astianpesuaine</t>
  </si>
  <si>
    <t>05.6.1.1.1.4</t>
  </si>
  <si>
    <t>Yleispuhdistusaine</t>
  </si>
  <si>
    <t>05.6.1.1.2.1</t>
  </si>
  <si>
    <t>Talouspaperi</t>
  </si>
  <si>
    <t>05.6.1.1.2.2</t>
  </si>
  <si>
    <t>Leivinpaperi</t>
  </si>
  <si>
    <t>05.6.1.1.2.3</t>
  </si>
  <si>
    <t>Muovikassit, roskapussit</t>
  </si>
  <si>
    <t>05.6.1.1.3.1</t>
  </si>
  <si>
    <t>Kynttilä</t>
  </si>
  <si>
    <t>05.6.1.1.3.2</t>
  </si>
  <si>
    <t>Tiskiharja</t>
  </si>
  <si>
    <t>05.6.2.1.1.1</t>
  </si>
  <si>
    <t>Kotitalouden työvoima</t>
  </si>
  <si>
    <t>06.1.1.1.1.1</t>
  </si>
  <si>
    <t>Korvattavat reseptilääkkeet</t>
  </si>
  <si>
    <t>06.1.1.1.1.2</t>
  </si>
  <si>
    <t>Ei-korvattavat reseptilääkkeet</t>
  </si>
  <si>
    <t>06.1.1.1.2.1</t>
  </si>
  <si>
    <t>Itsehoitolääkkeet</t>
  </si>
  <si>
    <t>06.1.1.1.3.1</t>
  </si>
  <si>
    <t>Monivitamiinit</t>
  </si>
  <si>
    <t>06.1.1.1.3.2</t>
  </si>
  <si>
    <t>Luontaistuotteet</t>
  </si>
  <si>
    <t>06.1.1.3.1.1</t>
  </si>
  <si>
    <t>Silmälasit</t>
  </si>
  <si>
    <t>06.1.1.3.1.2</t>
  </si>
  <si>
    <t>Verenpainemittari</t>
  </si>
  <si>
    <t>06.1.2.1.1.1</t>
  </si>
  <si>
    <t>Kondomit</t>
  </si>
  <si>
    <t>06.1.2.1.1.2</t>
  </si>
  <si>
    <t>Haavalaastari</t>
  </si>
  <si>
    <t>06.2.1.1.1.1</t>
  </si>
  <si>
    <t>Poliklinikkamaksu</t>
  </si>
  <si>
    <t>06.2.1.1.1.2</t>
  </si>
  <si>
    <t>Lääkärinpalkkio</t>
  </si>
  <si>
    <t>06.2.1.1.1.3</t>
  </si>
  <si>
    <t>Terveyskeskusmaksu</t>
  </si>
  <si>
    <t>06.2.2.1.1.1</t>
  </si>
  <si>
    <t>Hammaslääkärinpalkkio</t>
  </si>
  <si>
    <t>06.2.3.1.1.1</t>
  </si>
  <si>
    <t>Tutkimus- ja hoitomaksut</t>
  </si>
  <si>
    <t>06.2.3.1.1.2</t>
  </si>
  <si>
    <t>Niska-hartiahieronta</t>
  </si>
  <si>
    <t>06.3.1.1.1.1</t>
  </si>
  <si>
    <t>Yleinen sairaalamaksu</t>
  </si>
  <si>
    <t>07.1.1.1.1.1</t>
  </si>
  <si>
    <t>Henkilöauto, uusi</t>
  </si>
  <si>
    <t>07.1.1.2.1.1</t>
  </si>
  <si>
    <t>Henkilöauto, käytetty</t>
  </si>
  <si>
    <t>07.1.2.1.1.1</t>
  </si>
  <si>
    <t xml:space="preserve">Moottoripyörä </t>
  </si>
  <si>
    <t>07.1.3.1.1.1</t>
  </si>
  <si>
    <t>Polkupyörä</t>
  </si>
  <si>
    <t>07.2.1.1.1.1</t>
  </si>
  <si>
    <t>Kesärengas</t>
  </si>
  <si>
    <t>07.2.1.1.1.2</t>
  </si>
  <si>
    <t>Talvirengas</t>
  </si>
  <si>
    <t>07.2.1.1.2.1</t>
  </si>
  <si>
    <t>Varaosat</t>
  </si>
  <si>
    <t>07.2.1.1.2.2</t>
  </si>
  <si>
    <t>Pyyhkijän sulat</t>
  </si>
  <si>
    <t>07.2.1.1.3.1</t>
  </si>
  <si>
    <t>Tuulilasin pesuneste</t>
  </si>
  <si>
    <t>07.2.2.1.1.1</t>
  </si>
  <si>
    <t>Bensiini</t>
  </si>
  <si>
    <t>07.2.2.1.1.2</t>
  </si>
  <si>
    <t>Diesel</t>
  </si>
  <si>
    <t>07.2.2.1.1.3</t>
  </si>
  <si>
    <t>Voiteluaineet</t>
  </si>
  <si>
    <t>07.2.3.1.1.1</t>
  </si>
  <si>
    <t>Määräaikaishuolto</t>
  </si>
  <si>
    <t>07.2.3.1.1.2</t>
  </si>
  <si>
    <t>Asentajan keskipalkka</t>
  </si>
  <si>
    <t>07.2.3.1.1.3</t>
  </si>
  <si>
    <t>Polkupyörän huolto</t>
  </si>
  <si>
    <t>07.2.3.1.1.4</t>
  </si>
  <si>
    <t>Henkilöauton pesu</t>
  </si>
  <si>
    <t>07.2.4.1.1.1</t>
  </si>
  <si>
    <t>Katsastus</t>
  </si>
  <si>
    <t>07.2.4.1.1.2</t>
  </si>
  <si>
    <t>Ajoneuvovero</t>
  </si>
  <si>
    <t>07.2.4.1.2.1</t>
  </si>
  <si>
    <t>Ajo-opetus</t>
  </si>
  <si>
    <t>07.2.4.1.2.2</t>
  </si>
  <si>
    <t>Ajokorttimaksu</t>
  </si>
  <si>
    <t>07.2.4.1.3.1</t>
  </si>
  <si>
    <t>Pysäköintimaksu</t>
  </si>
  <si>
    <t>07.2.4.1.4.1</t>
  </si>
  <si>
    <t>Autonvuokraus</t>
  </si>
  <si>
    <t>07.3.1.1.1.1</t>
  </si>
  <si>
    <t>Lyhyet junamatkat</t>
  </si>
  <si>
    <t>07.3.1.1.1.2</t>
  </si>
  <si>
    <t>Pitkät junamatkat</t>
  </si>
  <si>
    <t>07.3.2.1.1.1</t>
  </si>
  <si>
    <t>Paikallismatkat</t>
  </si>
  <si>
    <t>07.3.2.1.2.1</t>
  </si>
  <si>
    <t>Pitkät linja-automatkat</t>
  </si>
  <si>
    <t>07.3.2.1.3.1</t>
  </si>
  <si>
    <t>Taksimatkat</t>
  </si>
  <si>
    <t>07.3.3.1.1.1</t>
  </si>
  <si>
    <t>Lentomatkat Suomessa</t>
  </si>
  <si>
    <t>07.3.3.1.2.1</t>
  </si>
  <si>
    <t>Lentomatkat ulkomaille</t>
  </si>
  <si>
    <t>07.3.4.1.1.1</t>
  </si>
  <si>
    <t>Laivamatkat ulkomaille</t>
  </si>
  <si>
    <t>08.1.0.1.1.1</t>
  </si>
  <si>
    <t>Kirjemaksut</t>
  </si>
  <si>
    <t>08.1.0.1.1.2</t>
  </si>
  <si>
    <t>Pakettimaksut</t>
  </si>
  <si>
    <t>08.2.0.1.1.1</t>
  </si>
  <si>
    <t>Matkapuhelin</t>
  </si>
  <si>
    <t>08.3.0.1.1.1</t>
  </si>
  <si>
    <t>Paikallispuhelut</t>
  </si>
  <si>
    <t>08.3.0.1.1.2</t>
  </si>
  <si>
    <t>Kaukopuhelut</t>
  </si>
  <si>
    <t>08.3.0.1.1.3</t>
  </si>
  <si>
    <t>Matkapuhelut</t>
  </si>
  <si>
    <t>08.3.0.1.2.1</t>
  </si>
  <si>
    <t>Internet-maksu</t>
  </si>
  <si>
    <t>09.1.1.1.1.1</t>
  </si>
  <si>
    <t>Stereolaitteisto</t>
  </si>
  <si>
    <t>09.1.1.1.1.2</t>
  </si>
  <si>
    <t>Kuvanauhuri</t>
  </si>
  <si>
    <t>09.1.1.1.1.3</t>
  </si>
  <si>
    <t>Televisio</t>
  </si>
  <si>
    <t>09.1.1.1.1.4</t>
  </si>
  <si>
    <t>DVD-soitin</t>
  </si>
  <si>
    <t>09.1.1.1.1.5</t>
  </si>
  <si>
    <t>CD-radionauhuri</t>
  </si>
  <si>
    <t>09.1.1.1.1.6</t>
  </si>
  <si>
    <t>Autostereot</t>
  </si>
  <si>
    <t>09.1.2.1.1.1</t>
  </si>
  <si>
    <t>Kamera</t>
  </si>
  <si>
    <t>09.1.2.1.1.2</t>
  </si>
  <si>
    <t>Videokamera</t>
  </si>
  <si>
    <t>09.1.3.1.1.1</t>
  </si>
  <si>
    <t>Mikrotietokone</t>
  </si>
  <si>
    <t>09.1.3.1.1.2</t>
  </si>
  <si>
    <t>Oheislaitteet</t>
  </si>
  <si>
    <t>09.1.4.1.1.1</t>
  </si>
  <si>
    <t>Filmirulla</t>
  </si>
  <si>
    <t>09.1.4.1.1.2</t>
  </si>
  <si>
    <t>CD-levyt</t>
  </si>
  <si>
    <t>09.1.4.1.1.3</t>
  </si>
  <si>
    <t>Videokasetti</t>
  </si>
  <si>
    <t>09.1.4.1.1.4</t>
  </si>
  <si>
    <t>Video</t>
  </si>
  <si>
    <t>09.1.5.1.1.1</t>
  </si>
  <si>
    <t xml:space="preserve">Television korjaus </t>
  </si>
  <si>
    <t>09.2.1.1.1.1</t>
  </si>
  <si>
    <t>Piano</t>
  </si>
  <si>
    <t>09.2.1.1.1.2</t>
  </si>
  <si>
    <t>Kitara</t>
  </si>
  <si>
    <t>09.2.2.1.1.1</t>
  </si>
  <si>
    <t xml:space="preserve">Lasikuituvene </t>
  </si>
  <si>
    <t>09.2.2.1.1.2</t>
  </si>
  <si>
    <t xml:space="preserve">Perämoottori </t>
  </si>
  <si>
    <t>09.2.2.1.1.3</t>
  </si>
  <si>
    <t>Matkailuauto</t>
  </si>
  <si>
    <t>09.3.1.1.1.1</t>
  </si>
  <si>
    <t xml:space="preserve">Seurapelit </t>
  </si>
  <si>
    <t>09.3.1.1.2.1</t>
  </si>
  <si>
    <t xml:space="preserve">Leikkikalu/lego </t>
  </si>
  <si>
    <t>09.3.1.1.2.2</t>
  </si>
  <si>
    <t>Pelitietokone</t>
  </si>
  <si>
    <t>09.3.1.1.2.3</t>
  </si>
  <si>
    <t>Pehmolelu</t>
  </si>
  <si>
    <t>09.3.1.1.2.4</t>
  </si>
  <si>
    <t>Nukke</t>
  </si>
  <si>
    <t>09.3.2.1.1.1</t>
  </si>
  <si>
    <t>Murtomaasukset</t>
  </si>
  <si>
    <t>09.3.2.1.1.2</t>
  </si>
  <si>
    <t>Lumilauta</t>
  </si>
  <si>
    <t>09.3.2.1.1.3</t>
  </si>
  <si>
    <t>Jääkiekkoluistimet</t>
  </si>
  <si>
    <t>09.3.2.1.1.4</t>
  </si>
  <si>
    <t xml:space="preserve">Rullaluistimet </t>
  </si>
  <si>
    <t>09.3.2.1.1.5</t>
  </si>
  <si>
    <t xml:space="preserve">Salibandymaila </t>
  </si>
  <si>
    <t>09.3.2.1.2.1</t>
  </si>
  <si>
    <t xml:space="preserve">Uistin </t>
  </si>
  <si>
    <t>09.3.2.1.2.2</t>
  </si>
  <si>
    <t xml:space="preserve">Makuupussi </t>
  </si>
  <si>
    <t>09.3.3.1.1.1</t>
  </si>
  <si>
    <t xml:space="preserve">Kukkamulta </t>
  </si>
  <si>
    <t>09.3.3.1.1.2</t>
  </si>
  <si>
    <t>Lannoiteliuos</t>
  </si>
  <si>
    <t>09.3.3.1.2.1</t>
  </si>
  <si>
    <t>Tulppaaninippu</t>
  </si>
  <si>
    <t>09.3.3.1.2.2</t>
  </si>
  <si>
    <t xml:space="preserve">Viherkasvi </t>
  </si>
  <si>
    <t>09.3.3.1.2.3</t>
  </si>
  <si>
    <t xml:space="preserve">Taimet </t>
  </si>
  <si>
    <t>09.3.3.1.2.4</t>
  </si>
  <si>
    <t>St. Paulia</t>
  </si>
  <si>
    <t>09.3.3.1.2.5</t>
  </si>
  <si>
    <t>Koristepensas</t>
  </si>
  <si>
    <t>09.3.4.1.1.1</t>
  </si>
  <si>
    <t>Undulaatti</t>
  </si>
  <si>
    <t>09.3.4.1.1.2</t>
  </si>
  <si>
    <t>Marsu</t>
  </si>
  <si>
    <t>09.3.4.1.2.1</t>
  </si>
  <si>
    <t>Koiran ruoka</t>
  </si>
  <si>
    <t>09.3.4.1.2.2</t>
  </si>
  <si>
    <t xml:space="preserve">Kissan ruoka </t>
  </si>
  <si>
    <t>09.3.4.1.2.3</t>
  </si>
  <si>
    <t xml:space="preserve">Kissan hiekka </t>
  </si>
  <si>
    <t>09.3.5.1.1.1</t>
  </si>
  <si>
    <t>Eläinlääkärimaksu</t>
  </si>
  <si>
    <t>09.4.1.1.1.1</t>
  </si>
  <si>
    <t>Huvipuistot</t>
  </si>
  <si>
    <t>09.4.1.1.1.2</t>
  </si>
  <si>
    <t>Huvitilaisuudet</t>
  </si>
  <si>
    <t>09.4.1.1.1.3</t>
  </si>
  <si>
    <t>Musiikki- ja taideleirit</t>
  </si>
  <si>
    <t>09.4.1.1.2.1</t>
  </si>
  <si>
    <t>Jalkapallo-ottelu</t>
  </si>
  <si>
    <t>09.4.1.1.2.2</t>
  </si>
  <si>
    <t>Jääkiekko-ottelu</t>
  </si>
  <si>
    <t>09.4.1.1.2.3</t>
  </si>
  <si>
    <t>Sulkapallotunti</t>
  </si>
  <si>
    <t>09.4.1.1.2.4</t>
  </si>
  <si>
    <t>Kuntosali</t>
  </si>
  <si>
    <t>09.4.1.1.2.5</t>
  </si>
  <si>
    <t>Aerobic-tunti</t>
  </si>
  <si>
    <t>09.4.1.1.2.6</t>
  </si>
  <si>
    <t>Uimahallimaksu</t>
  </si>
  <si>
    <t>09.4.2.1.1.1</t>
  </si>
  <si>
    <t>Elokuvalippu</t>
  </si>
  <si>
    <t>09.4.2.1.1.2</t>
  </si>
  <si>
    <t>Teatterilippu</t>
  </si>
  <si>
    <t>09.4.2.1.2.1</t>
  </si>
  <si>
    <t>Museot ja nähtävyydet</t>
  </si>
  <si>
    <t>09.4.2.1.3.1</t>
  </si>
  <si>
    <t>Televisiolupa</t>
  </si>
  <si>
    <t>09.4.2.1.3.2</t>
  </si>
  <si>
    <t>Maksu-TV</t>
  </si>
  <si>
    <t>09.4.2.1.4.1</t>
  </si>
  <si>
    <t>Filmin kehitys</t>
  </si>
  <si>
    <t>09.4.2.1.4.2</t>
  </si>
  <si>
    <t>Passikuva</t>
  </si>
  <si>
    <t>09.4.3.1.1.1</t>
  </si>
  <si>
    <t>Rahapelit</t>
  </si>
  <si>
    <t>09.5.1.1.1.1</t>
  </si>
  <si>
    <t>Kaunokirjallisuus</t>
  </si>
  <si>
    <t>09.5.1.1.1.2</t>
  </si>
  <si>
    <t>Muut kirjat</t>
  </si>
  <si>
    <t>09.5.1.1.1.3</t>
  </si>
  <si>
    <t>Kirjakerho</t>
  </si>
  <si>
    <t>09.5.2.1.1.1</t>
  </si>
  <si>
    <t>Sanomalehtien tilausmaksu</t>
  </si>
  <si>
    <t>09.5.2.1.1.2</t>
  </si>
  <si>
    <t>Sanomalehtien irtonumero</t>
  </si>
  <si>
    <t>09.5.2.1.2.1</t>
  </si>
  <si>
    <t>Aikakauslehtien tilausmaksu</t>
  </si>
  <si>
    <t>09.5.2.1.2.2</t>
  </si>
  <si>
    <t>Aikakauslehtien irtonumero</t>
  </si>
  <si>
    <t>09.5.3.1.1.1</t>
  </si>
  <si>
    <t>Almanakka</t>
  </si>
  <si>
    <t>09.5.3.1.1.2</t>
  </si>
  <si>
    <t>Onnittelukortti</t>
  </si>
  <si>
    <t>09.5.4.1.1.1</t>
  </si>
  <si>
    <t>Kopiopaperi</t>
  </si>
  <si>
    <t>09.5.4.1.2.1</t>
  </si>
  <si>
    <t>Korostuskynä</t>
  </si>
  <si>
    <t>09.6.1.1.1.1</t>
  </si>
  <si>
    <t>Valmismatkat</t>
  </si>
  <si>
    <t>10.2.0.1.1.1</t>
  </si>
  <si>
    <t>Keskiasteen koulutus</t>
  </si>
  <si>
    <t>10.3.0.1.1.1</t>
  </si>
  <si>
    <t>Keskiasteen jälkeinen koulutus</t>
  </si>
  <si>
    <t>10.4.0.1.1.1</t>
  </si>
  <si>
    <t>Korkeakoulu</t>
  </si>
  <si>
    <t>11.1.1.1.1.1</t>
  </si>
  <si>
    <t>Porsaanleike</t>
  </si>
  <si>
    <t>11.1.1.1.1.2</t>
  </si>
  <si>
    <t>Pihvi</t>
  </si>
  <si>
    <t>11.1.1.1.1.3</t>
  </si>
  <si>
    <t>Lounaspaketti</t>
  </si>
  <si>
    <t>11.1.1.1.1.4</t>
  </si>
  <si>
    <t>Kalaruoka</t>
  </si>
  <si>
    <t>11.1.1.1.1.5</t>
  </si>
  <si>
    <t>Kanaruoka</t>
  </si>
  <si>
    <t>11.1.1.1.1.6</t>
  </si>
  <si>
    <t>11.1.1.1.2.1</t>
  </si>
  <si>
    <t>Alkoholijuomien ravintolahinnat</t>
  </si>
  <si>
    <t>11.1.1.2.1.1</t>
  </si>
  <si>
    <t>Kahvi</t>
  </si>
  <si>
    <t>11.1.1.2.1.2</t>
  </si>
  <si>
    <t>Virvoitusjuoma</t>
  </si>
  <si>
    <t>11.1.1.2.1.3</t>
  </si>
  <si>
    <t>Makea kahvileipä</t>
  </si>
  <si>
    <t>11.1.1.2.1.4</t>
  </si>
  <si>
    <t xml:space="preserve">Suolainen kahvileipä </t>
  </si>
  <si>
    <t>11.1.1.2.2.1</t>
  </si>
  <si>
    <t>Hampurilainen</t>
  </si>
  <si>
    <t>11.1.1.2.2.2</t>
  </si>
  <si>
    <t>Hampurilaisateria</t>
  </si>
  <si>
    <t>11.1.1.2.2.3</t>
  </si>
  <si>
    <t>Pikaruoka-annos</t>
  </si>
  <si>
    <t>11.1.2.1.1.1</t>
  </si>
  <si>
    <t>Työpaikkaruokailu</t>
  </si>
  <si>
    <t>11.2.1.1.1.1</t>
  </si>
  <si>
    <t>Hotellihuone</t>
  </si>
  <si>
    <t>11.2.1.1.1.2</t>
  </si>
  <si>
    <t>Lomamökki</t>
  </si>
  <si>
    <t>12.1.1.1.1.1</t>
  </si>
  <si>
    <t>Parturimaksu</t>
  </si>
  <si>
    <t>12.1.1.1.1.2</t>
  </si>
  <si>
    <t>Kampaamomaksu</t>
  </si>
  <si>
    <t>12.1.1.1.1.3</t>
  </si>
  <si>
    <t>Hiusten värjäys</t>
  </si>
  <si>
    <t>12.1.1.1.2.1</t>
  </si>
  <si>
    <t>Kasvohoito</t>
  </si>
  <si>
    <t>12.1.2.1.1.1</t>
  </si>
  <si>
    <t>Sähköparranajokone</t>
  </si>
  <si>
    <t>12.1.2.1.1.2</t>
  </si>
  <si>
    <t xml:space="preserve">Sähköhammasharja </t>
  </si>
  <si>
    <t>12.1.2.1.1.3</t>
  </si>
  <si>
    <t>Kiharrin</t>
  </si>
  <si>
    <t>12.1.3.1.1.1</t>
  </si>
  <si>
    <t>Hammasharja</t>
  </si>
  <si>
    <t>12.1.3.1.1.2</t>
  </si>
  <si>
    <t>Sähköhammasharjan harja</t>
  </si>
  <si>
    <t>12.1.3.1.2.1</t>
  </si>
  <si>
    <t>Shampoo</t>
  </si>
  <si>
    <t>12.1.3.1.2.2</t>
  </si>
  <si>
    <t>Hammastahna</t>
  </si>
  <si>
    <t>12.1.3.1.2.3</t>
  </si>
  <si>
    <t>Deodorantti</t>
  </si>
  <si>
    <t>12.1.3.1.2.4</t>
  </si>
  <si>
    <t>Vartalovoide</t>
  </si>
  <si>
    <t>12.1.3.1.2.5</t>
  </si>
  <si>
    <t>Puhdistusemulsio</t>
  </si>
  <si>
    <t>12.1.3.1.2.6</t>
  </si>
  <si>
    <t>Suihkusaippua</t>
  </si>
  <si>
    <t>12.1.3.1.3.1</t>
  </si>
  <si>
    <t>Kasvovoide</t>
  </si>
  <si>
    <t>12.1.3.1.3.2</t>
  </si>
  <si>
    <t>Partavesi</t>
  </si>
  <si>
    <t>12.1.3.1.3.3</t>
  </si>
  <si>
    <t>Ripsiväri</t>
  </si>
  <si>
    <t>12.1.3.1.3.4</t>
  </si>
  <si>
    <t>Hajuvesipullo</t>
  </si>
  <si>
    <t>12.1.3.1.3.5</t>
  </si>
  <si>
    <t>Hiusväri</t>
  </si>
  <si>
    <t>12.1.3.1.3.6</t>
  </si>
  <si>
    <t>Meikkivoide</t>
  </si>
  <si>
    <t>12.1.3.1.4.1</t>
  </si>
  <si>
    <t>WC-paperi</t>
  </si>
  <si>
    <t>12.1.3.1.4.2</t>
  </si>
  <si>
    <t>Vauvanvaipat</t>
  </si>
  <si>
    <t>12.1.3.1.4.3</t>
  </si>
  <si>
    <t>Terveyssiteet</t>
  </si>
  <si>
    <t>12.3.1.1.1.1</t>
  </si>
  <si>
    <t>Hopeatavarat</t>
  </si>
  <si>
    <t>12.3.1.1.1.2</t>
  </si>
  <si>
    <t>Kalevala-koru</t>
  </si>
  <si>
    <t>12.3.1.1.1.3</t>
  </si>
  <si>
    <t>Kultasormus</t>
  </si>
  <si>
    <t>12.3.1.1.2.1</t>
  </si>
  <si>
    <t>Rannekello</t>
  </si>
  <si>
    <t>12.3.1.1.2.2</t>
  </si>
  <si>
    <t>Kellon huolto</t>
  </si>
  <si>
    <t>12.3.2.1.1.1</t>
  </si>
  <si>
    <t>Matkalaukku</t>
  </si>
  <si>
    <t>12.3.2.1.1.2</t>
  </si>
  <si>
    <t>Käsilaukku</t>
  </si>
  <si>
    <t>12.3.2.1.2.1</t>
  </si>
  <si>
    <t>Lastenvaunut</t>
  </si>
  <si>
    <t>12.3.2.1.2.2</t>
  </si>
  <si>
    <t>Huvitutti</t>
  </si>
  <si>
    <t>12.3.2.1.3.1</t>
  </si>
  <si>
    <t>Hiussolki</t>
  </si>
  <si>
    <t>12.3.2.1.3.2</t>
  </si>
  <si>
    <t>Aurinkolasit</t>
  </si>
  <si>
    <t>12.4.0.1.1.1</t>
  </si>
  <si>
    <t>Lasten päivähoito</t>
  </si>
  <si>
    <t>12.4.0.1.1.2</t>
  </si>
  <si>
    <t>Vanhainkotimaksu</t>
  </si>
  <si>
    <t>12.5.2.1.1.1</t>
  </si>
  <si>
    <t>Irtaimistovakuutus</t>
  </si>
  <si>
    <t>12.5.3.1.1.1</t>
  </si>
  <si>
    <t>Tapaturma- ja sairasvakuutukset</t>
  </si>
  <si>
    <t>12.5.4.1.1.1</t>
  </si>
  <si>
    <t>Liikennevakuutusmaksut</t>
  </si>
  <si>
    <t>12.5.4.1.1.2</t>
  </si>
  <si>
    <t>Matkavakuutus</t>
  </si>
  <si>
    <t>12.6.2.1.1.1</t>
  </si>
  <si>
    <t>Pankkipalvelumaksut</t>
  </si>
  <si>
    <t>12.6.2.1.1.2</t>
  </si>
  <si>
    <t>Antolainaus</t>
  </si>
  <si>
    <t>12.6.2.1.1.3</t>
  </si>
  <si>
    <t>Omaisuudenhoito</t>
  </si>
  <si>
    <t>12.6.2.2.1.1</t>
  </si>
  <si>
    <t>Kulutusluottojen korot</t>
  </si>
  <si>
    <t>12.6.2.2.1.2</t>
  </si>
  <si>
    <t>Opintolainojen korot</t>
  </si>
  <si>
    <t>12.7.0.1.1.1</t>
  </si>
  <si>
    <t>Lehti-ilmoitus</t>
  </si>
  <si>
    <t>12.7.0.1.1.2</t>
  </si>
  <si>
    <t>Asiakirjojen lunastusmaksu</t>
  </si>
  <si>
    <t>22 Normaali</t>
  </si>
  <si>
    <t>22 Palvelut</t>
  </si>
  <si>
    <t>22 Ravintolaruokailu</t>
  </si>
  <si>
    <t>22 Parturi ja kampaamo</t>
  </si>
  <si>
    <t>YHTEENSÄ</t>
  </si>
  <si>
    <t>M 22-%:</t>
  </si>
  <si>
    <t>Normaali 22 alv</t>
  </si>
  <si>
    <t>Ravintolaruokailu, 22 %</t>
  </si>
  <si>
    <t>Parturi ja kamp., 22 %</t>
  </si>
  <si>
    <t>Kirjat,lääke ym 8 %</t>
  </si>
  <si>
    <t>Asum, terveys, 0 %</t>
  </si>
  <si>
    <t>**</t>
  </si>
  <si>
    <t>MILJ. EUROA</t>
  </si>
  <si>
    <t xml:space="preserve"> - ei ota huomioon veron maksussa tapahtuvia muutoksia (harmaa alue päivänvaloon).</t>
  </si>
  <si>
    <t>***</t>
  </si>
  <si>
    <t>*** sisälävät jonkin muun veron tai ovat "veroja"</t>
  </si>
  <si>
    <t>Ravinto  17%</t>
  </si>
  <si>
    <t>Muut palvelut, 22 % *</t>
  </si>
  <si>
    <t xml:space="preserve">   koska osa materiaaleja.</t>
  </si>
  <si>
    <t xml:space="preserve"> * osa rakennusten korjauksista ja remontoinnista  on siirretty normaaliin alv,</t>
  </si>
  <si>
    <t>TILASTOKESKUS</t>
  </si>
  <si>
    <t>ALV-KERTYMÄÄN VALTIOLLE</t>
  </si>
  <si>
    <t xml:space="preserve"> - vuoden 2000 kulutuslukuja nostettu indeksillä (= arvo muuttunut hinnanousun mukaisesti) </t>
  </si>
  <si>
    <t>Alv-kertymä</t>
  </si>
  <si>
    <t xml:space="preserve"> - ei ota huomioon kysynnän mahdollisia joustoja.</t>
  </si>
  <si>
    <t xml:space="preserve">   2/2005</t>
  </si>
  <si>
    <t>KOKO KHI/Yksit. Kul</t>
  </si>
  <si>
    <t xml:space="preserve"> 06.4.2005</t>
  </si>
  <si>
    <t xml:space="preserve">Oletuksena on helmikuun 2005 kuluttajahintaindeksi 2000=100 ja ALV-verokanta 1.1.2003 </t>
  </si>
  <si>
    <t xml:space="preserve"> 2/2005</t>
  </si>
  <si>
    <t xml:space="preserve"> - painoja nostettu 8 prosentilla, jotta mukaan kaikki se kulutus, josta todella maksetaan ALV + volyymin nousu , Missä</t>
  </si>
  <si>
    <t>Yksityisajon. Huolto ja korjaus</t>
  </si>
  <si>
    <t xml:space="preserve"> - huolto</t>
  </si>
  <si>
    <t xml:space="preserve"> - korjaus</t>
  </si>
  <si>
    <t>Milj. euroa</t>
  </si>
  <si>
    <t>SKT2004</t>
  </si>
  <si>
    <t>KT2001</t>
  </si>
  <si>
    <t>1. Pienet korjauspalvelut</t>
  </si>
  <si>
    <t>2. Yksityisasuntojen uudistus</t>
  </si>
  <si>
    <t xml:space="preserve">    ja korjaus, työn osuus</t>
  </si>
  <si>
    <t xml:space="preserve">    talouksissa</t>
  </si>
  <si>
    <t>3. Ikkunapesu ja siivous yksityis-</t>
  </si>
  <si>
    <t>4. Kodinhoitopalvelut</t>
  </si>
  <si>
    <t>5. Parturi ja kampaamomaksut</t>
  </si>
  <si>
    <t>KHI2005</t>
  </si>
  <si>
    <t xml:space="preserve"> -Vaatteiden korjaus ja vuokraus</t>
  </si>
  <si>
    <t xml:space="preserve"> - Jalkineiden korjaus ja vuokraus</t>
  </si>
  <si>
    <t>Lähde</t>
  </si>
  <si>
    <t>huolto  (% koko huollosta)</t>
  </si>
  <si>
    <t>(15%)</t>
  </si>
  <si>
    <r>
      <t xml:space="preserve"> - </t>
    </r>
    <r>
      <rPr>
        <b/>
        <sz val="10"/>
        <rFont val="Arial"/>
        <family val="2"/>
      </rPr>
      <t>Polkupyörien</t>
    </r>
    <r>
      <rPr>
        <sz val="10"/>
        <rFont val="Arial"/>
        <family val="0"/>
      </rPr>
      <t xml:space="preserve"> ja moottoripyörien</t>
    </r>
  </si>
  <si>
    <t>Kolmasosa ?</t>
  </si>
  <si>
    <t>Sisältyy edelliseen</t>
  </si>
  <si>
    <t>ALV, e</t>
  </si>
  <si>
    <t>käyt. auto</t>
  </si>
  <si>
    <t>valm. Matka 5%</t>
  </si>
  <si>
    <t>NORM 22%</t>
  </si>
  <si>
    <t>Vanhat 8%</t>
  </si>
  <si>
    <t>0-%</t>
  </si>
  <si>
    <t>aikakausil./elämänt.</t>
  </si>
  <si>
    <t xml:space="preserve"> 22-% palvelut</t>
  </si>
  <si>
    <t xml:space="preserve"> 4.1</t>
  </si>
  <si>
    <t xml:space="preserve"> 4.2.1.1.1</t>
  </si>
  <si>
    <t xml:space="preserve"> 4.2.1.1.2</t>
  </si>
  <si>
    <t xml:space="preserve"> 4.2.3</t>
  </si>
  <si>
    <t xml:space="preserve"> 4.2.4.1.1.2</t>
  </si>
  <si>
    <t>07112</t>
  </si>
  <si>
    <t>096</t>
  </si>
  <si>
    <t>COICOP</t>
  </si>
  <si>
    <t>Summa</t>
  </si>
  <si>
    <t xml:space="preserve"> - vuoden 2010 kulutuslukuja nostettu indeksillä (= arvo muuttunut hinnanousun mukaisesti) </t>
  </si>
  <si>
    <t>Normaali 23 alv</t>
  </si>
  <si>
    <t>Ravintolaruokailu, 13 %</t>
  </si>
  <si>
    <t>Ravinto  13%</t>
  </si>
  <si>
    <t>Kirjat,lääke ym 9 %</t>
  </si>
  <si>
    <t xml:space="preserve">  %-yksik.</t>
  </si>
  <si>
    <t xml:space="preserve"> 2010=100</t>
  </si>
  <si>
    <t>Parturi ja kamp., 9 %</t>
  </si>
  <si>
    <t>Normaali, palvelut, 23 % *</t>
  </si>
  <si>
    <t>M 23-%:</t>
  </si>
  <si>
    <t xml:space="preserve"> - ei ota huomioon veron maksussa tapahtuvia muutoksia (harmaa alue päivänvaloon jne.).</t>
  </si>
  <si>
    <t>Veroton hinta on 81,30 euroa</t>
  </si>
  <si>
    <t xml:space="preserve"> - KUINKA PALJON HINNAT MUUTTUVAT, MIKÄ ON VAIKUTUS KULUTTAJAHINTAINDEKSIIN</t>
  </si>
  <si>
    <t>Ongelmana on kulutuksen ulkopuolinen piilevä Alv-kertymä (rakentaminen jne.). Tämä on pyritty ottamaan huomioon</t>
  </si>
  <si>
    <t>Normaali 23%-ALV</t>
  </si>
  <si>
    <t>Muut palvelut, 23%</t>
  </si>
  <si>
    <t>Ravinto, 13%</t>
  </si>
  <si>
    <t>Kirja,lääke,majoi.., 9%</t>
  </si>
  <si>
    <t>Asum, terv, koul…, 0%</t>
  </si>
  <si>
    <t>Ravintolaruokailu, 13%</t>
  </si>
  <si>
    <t>Vapaarahoitteiset vuokrat</t>
  </si>
  <si>
    <t>02.1.1.2.1.1</t>
  </si>
  <si>
    <t>Muut väkevät juomat</t>
  </si>
  <si>
    <t>Vehnäjauhot</t>
  </si>
  <si>
    <t>04.1.1.1.1.2</t>
  </si>
  <si>
    <t>Aravavuokrat</t>
  </si>
  <si>
    <t>Miedot viinit</t>
  </si>
  <si>
    <t>04.1.2.2.2.1</t>
  </si>
  <si>
    <t>Maan vuokra</t>
  </si>
  <si>
    <t>02.1.2.2.1.1</t>
  </si>
  <si>
    <t>Ruisleipä</t>
  </si>
  <si>
    <t>Osakehuoneistot</t>
  </si>
  <si>
    <t>02.1.2.3.1.1</t>
  </si>
  <si>
    <t>Väkevät viinit</t>
  </si>
  <si>
    <t>Ruisleipäpalat</t>
  </si>
  <si>
    <t>Omakotitalokiinteistö</t>
  </si>
  <si>
    <t>02.1.2.4.1.1</t>
  </si>
  <si>
    <t>Long drink</t>
  </si>
  <si>
    <t>Sekaleipä</t>
  </si>
  <si>
    <t>Asuntolainojen keskikorko</t>
  </si>
  <si>
    <t>01.1.1.3.1.4</t>
  </si>
  <si>
    <t>Vehnäleipä</t>
  </si>
  <si>
    <t>02.1.3.3.1.1</t>
  </si>
  <si>
    <t>I-olut</t>
  </si>
  <si>
    <t>Sämpylä</t>
  </si>
  <si>
    <t>06.2.1.2.1.1</t>
  </si>
  <si>
    <t>Muu kahvileipä</t>
  </si>
  <si>
    <t>Kahvikeksi</t>
  </si>
  <si>
    <t>Miesten talvitakki</t>
  </si>
  <si>
    <t>01.1.1.4.3.2</t>
  </si>
  <si>
    <t>06.3.0.1.1.1</t>
  </si>
  <si>
    <t>Miesten farkut</t>
  </si>
  <si>
    <t>07.2.4.2.1.1</t>
  </si>
  <si>
    <t>03.1.2.1.2.3</t>
  </si>
  <si>
    <t>01.1.1.4.5.1</t>
  </si>
  <si>
    <t>Suolakeksit</t>
  </si>
  <si>
    <t>07.2.4.3.1.2</t>
  </si>
  <si>
    <t>Kuljettajatutkintomaksu</t>
  </si>
  <si>
    <t>03.1.2.1.2.4</t>
  </si>
  <si>
    <t>Miesten housut</t>
  </si>
  <si>
    <t>01.1.1.5.1.1</t>
  </si>
  <si>
    <t>Einespizza</t>
  </si>
  <si>
    <t>07.3.3.2.1.1</t>
  </si>
  <si>
    <t>Ulkomaan lentomatkat</t>
  </si>
  <si>
    <t>Välitys</t>
  </si>
  <si>
    <t>Miesten kauluspaita</t>
  </si>
  <si>
    <t>01.1.1.5.1.2</t>
  </si>
  <si>
    <t>Pakastepizza</t>
  </si>
  <si>
    <t>Reittimatkat laivalla</t>
  </si>
  <si>
    <t>Miesten T-paita</t>
  </si>
  <si>
    <t>01.1.1.5.2.1</t>
  </si>
  <si>
    <t>Miesten pusero</t>
  </si>
  <si>
    <t>01.1.1.5.2.2</t>
  </si>
  <si>
    <t>Miesten urheiluhousut</t>
  </si>
  <si>
    <t>01.1.1.6.1.1</t>
  </si>
  <si>
    <t>09.5.2.2.2.1</t>
  </si>
  <si>
    <t>Miesten ulkoiluasu</t>
  </si>
  <si>
    <t>01.1.1.6.1.2</t>
  </si>
  <si>
    <t>09.6.0.2.1.1</t>
  </si>
  <si>
    <t>Ulkomaan valmismatkat</t>
  </si>
  <si>
    <t>03.1.2.1.6.1</t>
  </si>
  <si>
    <t>01.1.1.6.1.3</t>
  </si>
  <si>
    <t>Nuudeli</t>
  </si>
  <si>
    <t>09.6.0.2.2.1</t>
  </si>
  <si>
    <t>Laivaristeilyt</t>
  </si>
  <si>
    <t>03.1.2.1.7.1</t>
  </si>
  <si>
    <t>Miesten sukat</t>
  </si>
  <si>
    <t>01.1.1.7.1.1</t>
  </si>
  <si>
    <t>Maustetut murot</t>
  </si>
  <si>
    <t>10.2.0.1.2.1</t>
  </si>
  <si>
    <t>Kansanopisto</t>
  </si>
  <si>
    <t>Naisten ulkoilutakki</t>
  </si>
  <si>
    <t>01.1.1.7.2.1</t>
  </si>
  <si>
    <t>Muromysli</t>
  </si>
  <si>
    <t>10.5.0.1.1.1</t>
  </si>
  <si>
    <t>Työväenopisto</t>
  </si>
  <si>
    <t>01.1.1.8.1.1</t>
  </si>
  <si>
    <t>Paistovalmis pakastekahvileipä</t>
  </si>
  <si>
    <t>Naisten jakku</t>
  </si>
  <si>
    <t>Naudan paisti</t>
  </si>
  <si>
    <t>12.4.0.2.1.1</t>
  </si>
  <si>
    <t>Naisten farkut</t>
  </si>
  <si>
    <t>Naudan ulkofile</t>
  </si>
  <si>
    <t>03.1.2.2.2.3</t>
  </si>
  <si>
    <t>Naisten hame</t>
  </si>
  <si>
    <t>Naudan suikalepaisti</t>
  </si>
  <si>
    <t>03.1.2.2.2.4</t>
  </si>
  <si>
    <t>Naisten housut</t>
  </si>
  <si>
    <t>Porsaan sisäfile</t>
  </si>
  <si>
    <t>12.7.0.1.2.1</t>
  </si>
  <si>
    <t>Asiakirjamaksut</t>
  </si>
  <si>
    <t>Naisten T-paita</t>
  </si>
  <si>
    <t>Porsaan suikale- ja palaliha</t>
  </si>
  <si>
    <t>Varainsiirtovero</t>
  </si>
  <si>
    <t>Naisten pusero</t>
  </si>
  <si>
    <t>Porsaan paisti</t>
  </si>
  <si>
    <t>Broilerin suikale</t>
  </si>
  <si>
    <t>Naisten neule</t>
  </si>
  <si>
    <t>01.1.2.4.1.2</t>
  </si>
  <si>
    <t>Broilerin rintafile</t>
  </si>
  <si>
    <t>Naisten urheiluhousut</t>
  </si>
  <si>
    <t>01.1.2.4.1.3</t>
  </si>
  <si>
    <t>Broilerin koipi-reisi</t>
  </si>
  <si>
    <t>Nikotiinipurukumi</t>
  </si>
  <si>
    <t>Naisten ulkoiluasu</t>
  </si>
  <si>
    <t>Riistapakaste</t>
  </si>
  <si>
    <t>06.1.1.4.1.1</t>
  </si>
  <si>
    <t>Ehkäisypillerit</t>
  </si>
  <si>
    <t>03.1.2.2.6.1</t>
  </si>
  <si>
    <t>Naisten alushousut</t>
  </si>
  <si>
    <t>01.1.2.7.1.1</t>
  </si>
  <si>
    <t>07.2.3.1.2.1</t>
  </si>
  <si>
    <t>03.1.2.2.6.2</t>
  </si>
  <si>
    <t>Naisten rintaliivit</t>
  </si>
  <si>
    <t>01.1.2.7.1.2</t>
  </si>
  <si>
    <t>03.1.2.2.7.1</t>
  </si>
  <si>
    <t>Naisten sukat</t>
  </si>
  <si>
    <t>01.1.2.7.1.3</t>
  </si>
  <si>
    <t>03.1.2.2.7.2</t>
  </si>
  <si>
    <t>Naisten sukkahousut</t>
  </si>
  <si>
    <t>01.1.2.7.1.4</t>
  </si>
  <si>
    <t>Siipikarjanlihaleikkele</t>
  </si>
  <si>
    <t>Lasten ulkoilupuku</t>
  </si>
  <si>
    <t>01.1.2.7.1.5</t>
  </si>
  <si>
    <t>Lasten housut</t>
  </si>
  <si>
    <t>01.1.2.7.1.6</t>
  </si>
  <si>
    <t>07.3.2.2.1.1</t>
  </si>
  <si>
    <t>03.1.2.3.2.2</t>
  </si>
  <si>
    <t>Lasten pusero</t>
  </si>
  <si>
    <t>01.1.2.7.2.1</t>
  </si>
  <si>
    <t>Kotimaan lentomatkat</t>
  </si>
  <si>
    <t>03.1.2.4.1.1</t>
  </si>
  <si>
    <t xml:space="preserve">Vauvan ulkoiluhaalari </t>
  </si>
  <si>
    <t>01.1.2.7.2.2</t>
  </si>
  <si>
    <t>03.1.2.4.2.1</t>
  </si>
  <si>
    <t xml:space="preserve">Vauvan potkuhousut </t>
  </si>
  <si>
    <t>01.1.2.7.2.3</t>
  </si>
  <si>
    <t>08.1.0.2.1.1</t>
  </si>
  <si>
    <t>03.1.2.4.2.2</t>
  </si>
  <si>
    <t>Vauvan paita</t>
  </si>
  <si>
    <t>01.1.2.7.3.1</t>
  </si>
  <si>
    <t>Nahkakäsineet</t>
  </si>
  <si>
    <t>01.1.2.8.1.1</t>
  </si>
  <si>
    <t>Einespyörykät</t>
  </si>
  <si>
    <t>Pipo</t>
  </si>
  <si>
    <t>01.1.2.8.1.2</t>
  </si>
  <si>
    <t>Naudan jauheliha</t>
  </si>
  <si>
    <t>Kaulaliina</t>
  </si>
  <si>
    <t>01.1.2.8.1.3</t>
  </si>
  <si>
    <t>Sika-nauta jauheliha</t>
  </si>
  <si>
    <t>09.4.1.2.1.1</t>
  </si>
  <si>
    <t>03.1.3.2.1.1</t>
  </si>
  <si>
    <t>Neulelanka</t>
  </si>
  <si>
    <t>Kirjolohi</t>
  </si>
  <si>
    <t>09.4.1.2.2.1</t>
  </si>
  <si>
    <t>Kuntokeskusmaksu</t>
  </si>
  <si>
    <t>09.4.1.2.5.1</t>
  </si>
  <si>
    <t>01.1.3.1.1.3</t>
  </si>
  <si>
    <t>Lohifile</t>
  </si>
  <si>
    <t>03.2.1.1.4.1</t>
  </si>
  <si>
    <t>Miesten juoksukengät</t>
  </si>
  <si>
    <t>01.1.3.1.1.4</t>
  </si>
  <si>
    <t>Muu tuore kala</t>
  </si>
  <si>
    <t>03.2.1.2.2.1</t>
  </si>
  <si>
    <t>Pakastekala</t>
  </si>
  <si>
    <t>09.4.2.2.1.1</t>
  </si>
  <si>
    <t>03.2.1.2.2.2</t>
  </si>
  <si>
    <t>01.1.3.3.1.1</t>
  </si>
  <si>
    <t>Lämminsavustettu kala</t>
  </si>
  <si>
    <t>09.4.2.3.2.1</t>
  </si>
  <si>
    <t>Televisiomaksu</t>
  </si>
  <si>
    <t>03.2.1.2.3.1</t>
  </si>
  <si>
    <t>Naisten avokkaat</t>
  </si>
  <si>
    <t>01.1.3.4.1.1</t>
  </si>
  <si>
    <t>Tonnikalasäilyke</t>
  </si>
  <si>
    <t>09.4.2.7.1.1</t>
  </si>
  <si>
    <t>03.2.1.3.2.1</t>
  </si>
  <si>
    <t>01.1.3.4.1.2</t>
  </si>
  <si>
    <t>Sillisäilyke</t>
  </si>
  <si>
    <t>03.2.1.3.2.2</t>
  </si>
  <si>
    <t>Lasten talvikengät</t>
  </si>
  <si>
    <t>09.5.1.1.2.1</t>
  </si>
  <si>
    <t>Lasten- ja nuortenkirja</t>
  </si>
  <si>
    <t>04.3.1.1.2.1</t>
  </si>
  <si>
    <t>09.5.1.2.2.1</t>
  </si>
  <si>
    <t>Koulukirja</t>
  </si>
  <si>
    <t>04.3.1.1.4.1</t>
  </si>
  <si>
    <t>Jogurttitölkki</t>
  </si>
  <si>
    <t>09.5.1.3.1.1</t>
  </si>
  <si>
    <t>Tietokirja</t>
  </si>
  <si>
    <t>04.3.1.1.7.1</t>
  </si>
  <si>
    <t>11.2.0.1.1.1</t>
  </si>
  <si>
    <t>01.1.4.4.1.2</t>
  </si>
  <si>
    <t>11.2.0.2.1.1</t>
  </si>
  <si>
    <t>Leirintäaluemaksu</t>
  </si>
  <si>
    <t>01.1.4.4.1.3</t>
  </si>
  <si>
    <t>Kermajuusto</t>
  </si>
  <si>
    <t>11.2.0.3.1.1</t>
  </si>
  <si>
    <t>01.1.4.4.1.4</t>
  </si>
  <si>
    <t>Homejuusto</t>
  </si>
  <si>
    <t>01.1.4.4.1.5</t>
  </si>
  <si>
    <t>Salaattijuusto</t>
  </si>
  <si>
    <t>12.1.1.2.1.1</t>
  </si>
  <si>
    <t>01.1.4.4.2.1</t>
  </si>
  <si>
    <t>Tuorejuusto</t>
  </si>
  <si>
    <t>12.1.1.2.3.1</t>
  </si>
  <si>
    <t>01.1.4.4.2.2</t>
  </si>
  <si>
    <t>Ruokailuryhmä</t>
  </si>
  <si>
    <t>01.1.4.4.2.3</t>
  </si>
  <si>
    <t>01.1.4.4.3.1</t>
  </si>
  <si>
    <t>Nojatuoli</t>
  </si>
  <si>
    <t>01.1.4.5.1.1</t>
  </si>
  <si>
    <t>05.1.1.1.3.1</t>
  </si>
  <si>
    <t>01.1.4.5.1.2</t>
  </si>
  <si>
    <t>Ruokakerma</t>
  </si>
  <si>
    <t>05.1.1.1.4.1</t>
  </si>
  <si>
    <t xml:space="preserve">Kirjahylly  </t>
  </si>
  <si>
    <t>01.1.4.5.1.3</t>
  </si>
  <si>
    <t>Hapankermavalmiste</t>
  </si>
  <si>
    <t>05.1.1.1.4.2</t>
  </si>
  <si>
    <t>01.1.4.5.2.1</t>
  </si>
  <si>
    <t>05.1.1.2.1.1</t>
  </si>
  <si>
    <t>01.1.4.5.2.2</t>
  </si>
  <si>
    <t>Jälkiruokarahka</t>
  </si>
  <si>
    <t>05.1.1.2.1.2</t>
  </si>
  <si>
    <t>01.1.4.5.3.1</t>
  </si>
  <si>
    <t>Piimä</t>
  </si>
  <si>
    <t>05.1.1.5.1.1</t>
  </si>
  <si>
    <t>01.1.4.5.3.2</t>
  </si>
  <si>
    <t>05.1.1.6.1.1</t>
  </si>
  <si>
    <t>01.1.4.5.4.1</t>
  </si>
  <si>
    <t>Laktoositon maitojuoma</t>
  </si>
  <si>
    <t>05.1.1.7.2.1</t>
  </si>
  <si>
    <t>Kynttilänjalka</t>
  </si>
  <si>
    <t>01.1.4.6.1.1</t>
  </si>
  <si>
    <t>05.1.1.7.3.1</t>
  </si>
  <si>
    <t>Matto</t>
  </si>
  <si>
    <t>Valmisverhot</t>
  </si>
  <si>
    <t>01.1.5.2.2.1</t>
  </si>
  <si>
    <t>Rasiamargariini</t>
  </si>
  <si>
    <t>Verhokangas</t>
  </si>
  <si>
    <t>01.1.5.2.3.1</t>
  </si>
  <si>
    <t>Kevyt rasiamargariini</t>
  </si>
  <si>
    <t>05.2.0.2.1.1</t>
  </si>
  <si>
    <t>Päiväpeitto</t>
  </si>
  <si>
    <t>01.1.5.2.4.1</t>
  </si>
  <si>
    <t>05.2.0.2.2.1</t>
  </si>
  <si>
    <t xml:space="preserve">Tyyny  </t>
  </si>
  <si>
    <t>01.1.5.4.1.1</t>
  </si>
  <si>
    <t>05.2.0.2.2.2</t>
  </si>
  <si>
    <t>Peitto</t>
  </si>
  <si>
    <t>05.2.0.2.3.1</t>
  </si>
  <si>
    <t>05.2.0.3.1.1</t>
  </si>
  <si>
    <t>Pöytäliina</t>
  </si>
  <si>
    <t>05.2.0.3.2.1</t>
  </si>
  <si>
    <t>Päärynä</t>
  </si>
  <si>
    <t>05.3.1.1.3.1</t>
  </si>
  <si>
    <t>01.1.6.1.6.1</t>
  </si>
  <si>
    <t>05.3.1.2.1.1</t>
  </si>
  <si>
    <t>01.1.6.1.7.1</t>
  </si>
  <si>
    <t>05.3.1.2.2.1</t>
  </si>
  <si>
    <t>01.1.6.1.7.2</t>
  </si>
  <si>
    <t>Meloni</t>
  </si>
  <si>
    <t>05.3.1.3.3.1</t>
  </si>
  <si>
    <t>Kuivatut luumut</t>
  </si>
  <si>
    <t>05.3.1.3.4.1</t>
  </si>
  <si>
    <t>Marjapakaste</t>
  </si>
  <si>
    <t>05.3.1.5.1.1</t>
  </si>
  <si>
    <t>Ananassäilyke</t>
  </si>
  <si>
    <t>05.3.2.2.1.1</t>
  </si>
  <si>
    <t>01.1.6.3.2.2</t>
  </si>
  <si>
    <t>05.3.2.3.1.1</t>
  </si>
  <si>
    <t>01.1.6.4.1.1</t>
  </si>
  <si>
    <t>Suolapähkinät</t>
  </si>
  <si>
    <t>05.4.0.1.1.1</t>
  </si>
  <si>
    <t>05.4.0.1.3.1</t>
  </si>
  <si>
    <t>Viinilasi</t>
  </si>
  <si>
    <t>Tuore yrtti</t>
  </si>
  <si>
    <t>05.4.0.1.4.1</t>
  </si>
  <si>
    <t>01.1.7.1.2.1</t>
  </si>
  <si>
    <t>05.4.0.1.5.1</t>
  </si>
  <si>
    <t>Maljakko</t>
  </si>
  <si>
    <t>01.1.7.1.3.1</t>
  </si>
  <si>
    <t>05.4.0.2.1.1</t>
  </si>
  <si>
    <t>Ruokailuvälineet</t>
  </si>
  <si>
    <t>01.1.7.1.3.2</t>
  </si>
  <si>
    <t>05.4.0.2.2.1</t>
  </si>
  <si>
    <t>01.1.7.1.3.3</t>
  </si>
  <si>
    <t>05.4.0.3.1.1</t>
  </si>
  <si>
    <t>01.1.7.1.4.1</t>
  </si>
  <si>
    <t>05.4.0.3.1.2</t>
  </si>
  <si>
    <t>Kattila</t>
  </si>
  <si>
    <t>01.1.7.1.4.2</t>
  </si>
  <si>
    <t>05.4.0.4.1.1</t>
  </si>
  <si>
    <t>Jätevaunu</t>
  </si>
  <si>
    <t>Kasvispakaste</t>
  </si>
  <si>
    <t xml:space="preserve">Porakone </t>
  </si>
  <si>
    <t>Einessalaatti</t>
  </si>
  <si>
    <t>Pientyökalu</t>
  </si>
  <si>
    <t>01.1.7.3.2.2</t>
  </si>
  <si>
    <t>Oksasakset</t>
  </si>
  <si>
    <t>01.1.7.3.2.3</t>
  </si>
  <si>
    <t>05.5.2.2.1.1</t>
  </si>
  <si>
    <t>Verhotanko</t>
  </si>
  <si>
    <t>05.5.2.2.2.1</t>
  </si>
  <si>
    <t>01.1.7.4.3.1</t>
  </si>
  <si>
    <t>Ranskanperunapakasteet</t>
  </si>
  <si>
    <t>05.5.2.2.2.2</t>
  </si>
  <si>
    <t>Energiansäästölamppu</t>
  </si>
  <si>
    <t>05.6.1.2.1.1</t>
  </si>
  <si>
    <t>01.1.8.3.1.3</t>
  </si>
  <si>
    <t>Suklaakonvehdit</t>
  </si>
  <si>
    <t>05.6.1.2.2.1</t>
  </si>
  <si>
    <t>Mikrokuituliina</t>
  </si>
  <si>
    <t>05.6.1.2.4.1</t>
  </si>
  <si>
    <t>05.6.1.2.5.1</t>
  </si>
  <si>
    <t>Lautasliinat</t>
  </si>
  <si>
    <t>Lakritsi</t>
  </si>
  <si>
    <t>05.6.1.2.7.1</t>
  </si>
  <si>
    <t>01.1.8.4.2.1</t>
  </si>
  <si>
    <t>05.6.1.2.8.1</t>
  </si>
  <si>
    <t>Biojätepussi</t>
  </si>
  <si>
    <t>01.1.8.5.1.1</t>
  </si>
  <si>
    <t>Jäätelöpaketti</t>
  </si>
  <si>
    <t>06.1.2.1.2.2</t>
  </si>
  <si>
    <t>01.1.8.5.1.2</t>
  </si>
  <si>
    <t>06.1.3.1.1.1</t>
  </si>
  <si>
    <t>01.1.8.5.1.3</t>
  </si>
  <si>
    <t>06.1.3.1.2.1</t>
  </si>
  <si>
    <t>Piilolinssit</t>
  </si>
  <si>
    <t>01.1.8.5.1.4</t>
  </si>
  <si>
    <t>Jäätelöpuikko</t>
  </si>
  <si>
    <t>06.1.3.2.1.1</t>
  </si>
  <si>
    <t>Tomaattiketsuppi</t>
  </si>
  <si>
    <t>Uusi auto</t>
  </si>
  <si>
    <t xml:space="preserve">Käytetty auto </t>
  </si>
  <si>
    <t>välitysp.</t>
  </si>
  <si>
    <t>Maustepussi</t>
  </si>
  <si>
    <t>07.1.2.1.2.1</t>
  </si>
  <si>
    <t>Moottoripyörä</t>
  </si>
  <si>
    <t>01.1.9.3.1.1</t>
  </si>
  <si>
    <t>Vauvan velli</t>
  </si>
  <si>
    <t>01.1.9.4.1.1</t>
  </si>
  <si>
    <t>Eineslaatikko</t>
  </si>
  <si>
    <t>01.1.9.4.1.2</t>
  </si>
  <si>
    <t>Valmisruoka-annos</t>
  </si>
  <si>
    <t>01.1.9.4.1.3</t>
  </si>
  <si>
    <t>Mikroateria</t>
  </si>
  <si>
    <t>07.2.1.2.1.1</t>
  </si>
  <si>
    <t>Auton varaosa</t>
  </si>
  <si>
    <t>01.1.9.4.1.4</t>
  </si>
  <si>
    <t>Lounassalaattiannos</t>
  </si>
  <si>
    <t>07.2.1.3.1.1</t>
  </si>
  <si>
    <t>01.1.9.4.1.5</t>
  </si>
  <si>
    <t>Eineshampurilainen</t>
  </si>
  <si>
    <t>01.1.9.4.1.6</t>
  </si>
  <si>
    <t>Täytetty leipä</t>
  </si>
  <si>
    <t>07.2.2.2.1.1</t>
  </si>
  <si>
    <t>Bensiini 95 E10</t>
  </si>
  <si>
    <t>01.1.9.5.1.1</t>
  </si>
  <si>
    <t>Liemikuutiot</t>
  </si>
  <si>
    <t>07.2.2.2.1.2</t>
  </si>
  <si>
    <t>Bensiini 98 E5</t>
  </si>
  <si>
    <t>07.2.2.4.1.1</t>
  </si>
  <si>
    <t>Moottoriöljy</t>
  </si>
  <si>
    <t>Pussitee</t>
  </si>
  <si>
    <t>07.2.4.2.1.2</t>
  </si>
  <si>
    <t>01.2.1.3.2.1</t>
  </si>
  <si>
    <t>Kaakaojuomajauhe</t>
  </si>
  <si>
    <t>08.2.0.2.1.1</t>
  </si>
  <si>
    <t>Lankapuhelumaksut</t>
  </si>
  <si>
    <t>08.3.0.2.1.1</t>
  </si>
  <si>
    <t>Matkaviestintäpalvelut</t>
  </si>
  <si>
    <t>01.2.2.2.3.1</t>
  </si>
  <si>
    <t>Energiajuoma</t>
  </si>
  <si>
    <t>08.3.0.3.1.1</t>
  </si>
  <si>
    <t>Juomatiiviste</t>
  </si>
  <si>
    <t>09.1.1.1.3.1</t>
  </si>
  <si>
    <t>MP3-soitin</t>
  </si>
  <si>
    <t>09.1.1.2.1.1</t>
  </si>
  <si>
    <t>Muu täysmehu</t>
  </si>
  <si>
    <t>09.1.1.2.2.1</t>
  </si>
  <si>
    <t>DVD-laite</t>
  </si>
  <si>
    <t>01.2.2.3.1.4</t>
  </si>
  <si>
    <t>Mehujuoma</t>
  </si>
  <si>
    <t>09.1.1.2.3.1</t>
  </si>
  <si>
    <t>Digiboxi</t>
  </si>
  <si>
    <t>09.1.1.2.4.1</t>
  </si>
  <si>
    <t>Kotiteatterisarja</t>
  </si>
  <si>
    <t>09.3.4.2.1.1</t>
  </si>
  <si>
    <t>09.1.1.3.1.1</t>
  </si>
  <si>
    <t>Navigaattori</t>
  </si>
  <si>
    <t>09.3.4.2.1.2</t>
  </si>
  <si>
    <t>09.1.1.4.1.1</t>
  </si>
  <si>
    <t>Kuulokkeet</t>
  </si>
  <si>
    <t>Digikamera</t>
  </si>
  <si>
    <t>Pasta</t>
  </si>
  <si>
    <t>09.1.2.1.2.1</t>
  </si>
  <si>
    <t>Kasvisruoka</t>
  </si>
  <si>
    <t>Tietokone</t>
  </si>
  <si>
    <t>11.1.1.1.3.1</t>
  </si>
  <si>
    <t>09.1.3.2.3.1</t>
  </si>
  <si>
    <t>Näyttö</t>
  </si>
  <si>
    <t>11.1.1.1.4.1</t>
  </si>
  <si>
    <t>Porsaaliharuoka</t>
  </si>
  <si>
    <t>09.1.3.2.3.2</t>
  </si>
  <si>
    <t>Tulostin</t>
  </si>
  <si>
    <t>11.1.1.1.4.2</t>
  </si>
  <si>
    <t>CD-levy</t>
  </si>
  <si>
    <t>11.1.1.1.4.3</t>
  </si>
  <si>
    <t>Linturuoka</t>
  </si>
  <si>
    <t>09.1.4.1.2.1</t>
  </si>
  <si>
    <t>DVD-elokuva</t>
  </si>
  <si>
    <t>11.1.1.1.4.4</t>
  </si>
  <si>
    <t>09.1.4.2.2.1</t>
  </si>
  <si>
    <t>Tallentamaton DVD-levy</t>
  </si>
  <si>
    <t>11.1.1.1.5.1</t>
  </si>
  <si>
    <t>Salaatti</t>
  </si>
  <si>
    <t>09.1.4.3.1.1</t>
  </si>
  <si>
    <t>Siirrettävä muisti</t>
  </si>
  <si>
    <t>11.1.1.1.6.1</t>
  </si>
  <si>
    <t>Jälkiruoka</t>
  </si>
  <si>
    <t>Asuntoauto</t>
  </si>
  <si>
    <t>09.2.1.3.1.1</t>
  </si>
  <si>
    <t>09.2.1.3.2.1</t>
  </si>
  <si>
    <t>Kosketinsoitin</t>
  </si>
  <si>
    <t>11.1.1.3.1.1</t>
  </si>
  <si>
    <t>Noutoruoka</t>
  </si>
  <si>
    <t>Seurapeli</t>
  </si>
  <si>
    <t>11.1.1.4.1.1</t>
  </si>
  <si>
    <t>Tietokonepeli</t>
  </si>
  <si>
    <t>11.1.1.4.1.2</t>
  </si>
  <si>
    <t>Erikoiskahvi</t>
  </si>
  <si>
    <t>Pelikonsoli</t>
  </si>
  <si>
    <t>11.1.1.4.2.1</t>
  </si>
  <si>
    <t>09.3.1.2.1.1</t>
  </si>
  <si>
    <t>11.1.1.4.3.1</t>
  </si>
  <si>
    <t>09.3.1.2.3.1</t>
  </si>
  <si>
    <t>11.1.1.4.3.2</t>
  </si>
  <si>
    <t>Suolainen kahvileipä</t>
  </si>
  <si>
    <t>09.3.1.2.4.1</t>
  </si>
  <si>
    <t>Yleisrakennussarja</t>
  </si>
  <si>
    <t>Suksipaketti</t>
  </si>
  <si>
    <t>09.4.2.4.1.1</t>
  </si>
  <si>
    <t>Elokuvan vuokraus</t>
  </si>
  <si>
    <t>Kävelysauvat</t>
  </si>
  <si>
    <t>09.4.2.5.1.1</t>
  </si>
  <si>
    <t>Kuvapalvelut</t>
  </si>
  <si>
    <t>07.2.4.3.1.1</t>
  </si>
  <si>
    <t>Sulkapallomaila</t>
  </si>
  <si>
    <t>07.2.4.3.2.1</t>
  </si>
  <si>
    <t>09.3.2.2.4.1</t>
  </si>
  <si>
    <t>09.3.2.2.4.2</t>
  </si>
  <si>
    <t>Makuupussi</t>
  </si>
  <si>
    <t>07.2.3.2.1.1</t>
  </si>
  <si>
    <t>Auton korjaus</t>
  </si>
  <si>
    <t>Kukkamulta</t>
  </si>
  <si>
    <t>09.3.3.2.1.1</t>
  </si>
  <si>
    <t>09.3.3.2.2.1</t>
  </si>
  <si>
    <t>Öljynvaihto</t>
  </si>
  <si>
    <t>09.3.3.3.1.1</t>
  </si>
  <si>
    <t>Kukkakimppu</t>
  </si>
  <si>
    <t>06.2.3.3.1.1</t>
  </si>
  <si>
    <t>09.3.3.3.2.1</t>
  </si>
  <si>
    <t>Taimet</t>
  </si>
  <si>
    <t>Kotisiivous</t>
  </si>
  <si>
    <t>09.3.4.2.2.1</t>
  </si>
  <si>
    <t>Puruluu</t>
  </si>
  <si>
    <t>Huonekalun kokoamispalvelu</t>
  </si>
  <si>
    <t>09.4.2.3.3.1</t>
  </si>
  <si>
    <t>04.4.4.3.1.1</t>
  </si>
  <si>
    <t>04.3.2.3.1.1</t>
  </si>
  <si>
    <t>09.5.2.2.1.1</t>
  </si>
  <si>
    <t>As. OY Remontti</t>
  </si>
  <si>
    <t>Asuntoremontti, osakehuoneist.</t>
  </si>
  <si>
    <t>Lahjapaperi</t>
  </si>
  <si>
    <t>09.5.4.2.1.1</t>
  </si>
  <si>
    <t>Tulostinväri</t>
  </si>
  <si>
    <t>09.6.0.1.1.1</t>
  </si>
  <si>
    <t>Kotimaan valmismatkat</t>
  </si>
  <si>
    <t>11.1.1.1.7.1</t>
  </si>
  <si>
    <t>Viina ravintolassa</t>
  </si>
  <si>
    <t>11.1.1.1.8.1</t>
  </si>
  <si>
    <t>Viini ravintolassa</t>
  </si>
  <si>
    <t>11.1.1.1.9.1</t>
  </si>
  <si>
    <t>Olut ravintolassa</t>
  </si>
  <si>
    <t>12.1.1.3.1.1</t>
  </si>
  <si>
    <t>12.1.2.2.1.1</t>
  </si>
  <si>
    <t>Hiusten muotoilulaite</t>
  </si>
  <si>
    <t>12.1.2.3.1.1</t>
  </si>
  <si>
    <t>Sähköhammasharja</t>
  </si>
  <si>
    <t>12.1.3.2.1.1</t>
  </si>
  <si>
    <t>12.1.3.2.1.2</t>
  </si>
  <si>
    <t>12.1.3.2.1.3</t>
  </si>
  <si>
    <t>12.1.3.2.1.4</t>
  </si>
  <si>
    <t>12.1.3.2.1.5</t>
  </si>
  <si>
    <t>Kasvojenpuhdistusaine</t>
  </si>
  <si>
    <t>12.1.3.2.2.1</t>
  </si>
  <si>
    <t>12.1.3.2.2.2</t>
  </si>
  <si>
    <t>12.1.3.2.2.3</t>
  </si>
  <si>
    <t>12.1.3.2.2.4</t>
  </si>
  <si>
    <t>Paperinenäliina</t>
  </si>
  <si>
    <t>12.1.3.3.1.1</t>
  </si>
  <si>
    <t>12.1.3.3.1.2</t>
  </si>
  <si>
    <t>12.1.3.3.1.3</t>
  </si>
  <si>
    <t>12.1.3.3.2.1</t>
  </si>
  <si>
    <t>12.1.3.3.2.2</t>
  </si>
  <si>
    <t>Huulipuna</t>
  </si>
  <si>
    <t>12.1.3.3.3.1</t>
  </si>
  <si>
    <t>12.1.3.3.4.1</t>
  </si>
  <si>
    <t>12.1.3.3.4.2</t>
  </si>
  <si>
    <t>Hiusten muotoilutuote</t>
  </si>
  <si>
    <t>Hopeinen kaulakoru</t>
  </si>
  <si>
    <t>Timanttisormus</t>
  </si>
  <si>
    <t>12.3.1.1.3.1</t>
  </si>
  <si>
    <t>Pukukoru</t>
  </si>
  <si>
    <t>12.3.2.2.1.1</t>
  </si>
  <si>
    <t>12.3.2.3.3.1</t>
  </si>
  <si>
    <t xml:space="preserve"> = vakuutusmaksuvero</t>
  </si>
  <si>
    <t>12.5.2.1.1.2</t>
  </si>
  <si>
    <t>Omakotitalon palovakuutusmaksu</t>
  </si>
  <si>
    <t>Liikennevakuutusmaksu</t>
  </si>
  <si>
    <t>Ajoneuvovakuutusmaksu</t>
  </si>
  <si>
    <t>12.7.0.4.1.1</t>
  </si>
  <si>
    <t>Ilmoitusmaksut</t>
  </si>
  <si>
    <r>
      <t xml:space="preserve">Niiden osalta, joissa  </t>
    </r>
    <r>
      <rPr>
        <b/>
        <sz val="10"/>
        <rFont val="Arial"/>
        <family val="2"/>
      </rPr>
      <t>ALV-prosentti on suurempi kuin 0, -%</t>
    </r>
  </si>
  <si>
    <r>
      <t xml:space="preserve">Keskimääräinen ALV-prosentti </t>
    </r>
    <r>
      <rPr>
        <b/>
        <sz val="10"/>
        <rFont val="Arial"/>
        <family val="2"/>
      </rPr>
      <t>koko indeksin</t>
    </r>
    <r>
      <rPr>
        <sz val="10"/>
        <rFont val="Arial"/>
        <family val="2"/>
      </rPr>
      <t xml:space="preserve"> osalta on, -%</t>
    </r>
  </si>
  <si>
    <t>KOTITALOUDET 2010</t>
  </si>
  <si>
    <t>KULUTUS, MILJ. EUROA</t>
  </si>
  <si>
    <t>Esimerkki 1.</t>
  </si>
  <si>
    <r>
      <t xml:space="preserve">MUUTA VEROKANTAA HALUAMAASI PROSENTTIIN, ESIM 23 -- 24%, LASKELMA KERTOO </t>
    </r>
    <r>
      <rPr>
        <sz val="10"/>
        <rFont val="Arial"/>
        <family val="2"/>
      </rPr>
      <t>(Toimii myös toiseen suuntaan)</t>
    </r>
  </si>
  <si>
    <t>Esimerkki 2.</t>
  </si>
  <si>
    <t>Vain kolme verokantaa, Yleinen 25% muut 10% tai 0%</t>
  </si>
  <si>
    <t xml:space="preserve"> - Mukana yksityisen kulutuksen ALV, verotuotossa huomioitu myös muu alv-tulo (volyymia nostettu 10 -25 %)</t>
  </si>
  <si>
    <t xml:space="preserve"> - Arvioitu volyymin kasvu vuodesta 2010 vuoteen 2011; 1,5 %</t>
  </si>
  <si>
    <t>1 prosenttiyksikön ALV:n nousu kaikilla ryhmillä:</t>
  </si>
  <si>
    <t xml:space="preserve"> 1.10.2009</t>
  </si>
  <si>
    <t>Kanta</t>
  </si>
  <si>
    <t>ALV-jakauma 1.1.2011 mukaisena</t>
  </si>
  <si>
    <t>Keskimääräinen Alv-prosentti koko kulutuksen painoilla ( + muu kuin yksityinen + hintapäivitys + volyymipäivitys)</t>
  </si>
  <si>
    <t xml:space="preserve"> (Alv suurempi kuin nolla)</t>
  </si>
  <si>
    <t>Laita nykyisten alv-verokantojen tilalle oma veroehdotuksesi niin peli laskee kuluttajahintaindeksin muutoksen hyödykeryhmittäin,</t>
  </si>
  <si>
    <t>indeksivaikutuksen sekä eurovaikutuksen valtion verotuloihin</t>
  </si>
  <si>
    <t>Oletuksena on helmikuun 2012 kuluttajahintaindeksi 2010=100 ja ALV-verokanta 1.1.2012</t>
  </si>
  <si>
    <t>Palvelut</t>
  </si>
  <si>
    <t>YHTEENSÄ 2/2012</t>
  </si>
  <si>
    <t xml:space="preserve"> 2/2012</t>
  </si>
  <si>
    <t xml:space="preserve"> = Hinnanmuutos * volyymin muutos + muu kuin yksityisen kulutuksen Alv-kertymä</t>
  </si>
  <si>
    <t xml:space="preserve"> - MIKÄ ON VALTION VEROTULOJEN MUUTOS, miljoonaa euroa (ml. Yksityinen ja muu kulutus)</t>
  </si>
  <si>
    <t xml:space="preserve"> - Valtion verotulot nousevat  687 miljoonaa euroa (ei kysyntä tai hintajoustomuutosvaikutuksia)</t>
  </si>
  <si>
    <t xml:space="preserve"> - Kuluttajahinnat nousevat 0,62 prosenttiyksikköä</t>
  </si>
  <si>
    <t xml:space="preserve"> - Kuluttajahinnat nousevat 0,3 prosenttiyksikköä</t>
  </si>
  <si>
    <t xml:space="preserve"> - Valtion verotulot nousevat n. 414 miljoonallaa eurolla (ei kysyntä tai hintajoustomuutosvaikutuksia)</t>
  </si>
  <si>
    <t xml:space="preserve">  2/2011</t>
  </si>
  <si>
    <t xml:space="preserve"> 26.3.2012</t>
  </si>
  <si>
    <t>OHJE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</si>
</sst>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mmmm\ d\,\ yyyy"/>
    <numFmt numFmtId="174" formatCode="#,##0.000"/>
    <numFmt numFmtId="175" formatCode="#,##0.0000"/>
    <numFmt numFmtId="176" formatCode="#,##0.00000"/>
    <numFmt numFmtId="177" formatCode="0.0000"/>
    <numFmt numFmtId="178" formatCode="0.000"/>
    <numFmt numFmtId="179" formatCode="0.0"/>
    <numFmt numFmtId="180" formatCode="0.0000000"/>
    <numFmt numFmtId="181" formatCode="0.000000"/>
    <numFmt numFmtId="182" formatCode="0.00000"/>
    <numFmt numFmtId="183" formatCode="0.00000000"/>
    <numFmt numFmtId="184" formatCode="0.000000000"/>
    <numFmt numFmtId="185" formatCode="0.0000000000"/>
    <numFmt numFmtId="186" formatCode="0.00000000000"/>
    <numFmt numFmtId="187" formatCode="0.000\ %"/>
    <numFmt numFmtId="188" formatCode="0.0000\ %"/>
  </numFmts>
  <fonts count="51">
    <font>
      <sz val="10"/>
      <name val="Arial"/>
      <family val="0"/>
    </font>
    <font>
      <b/>
      <sz val="10"/>
      <name val="Arial"/>
      <family val="0"/>
    </font>
    <font>
      <i/>
      <sz val="10"/>
      <name val="Arial"/>
      <family val="0"/>
    </font>
    <font>
      <b/>
      <i/>
      <sz val="10"/>
      <name val="Arial"/>
      <family val="0"/>
    </font>
    <font>
      <sz val="10"/>
      <name val="Helvetica"/>
      <family val="2"/>
    </font>
    <font>
      <b/>
      <sz val="18"/>
      <name val="Helvetica"/>
      <family val="2"/>
    </font>
    <font>
      <b/>
      <sz val="12"/>
      <name val="Helvetica"/>
      <family val="2"/>
    </font>
    <font>
      <sz val="12"/>
      <name val="Arial"/>
      <family val="2"/>
    </font>
    <font>
      <b/>
      <sz val="12"/>
      <name val="Arial"/>
      <family val="2"/>
    </font>
    <font>
      <b/>
      <sz val="14"/>
      <name val="Arial"/>
      <family val="2"/>
    </font>
    <font>
      <sz val="14"/>
      <name val="Arial"/>
      <family val="2"/>
    </font>
    <font>
      <b/>
      <sz val="16"/>
      <name val="Helvetica"/>
      <family val="2"/>
    </font>
    <font>
      <sz val="10"/>
      <color indexed="8"/>
      <name val="Arial"/>
      <family val="2"/>
    </font>
    <font>
      <sz val="10"/>
      <color indexed="9"/>
      <name val="Arial"/>
      <family val="2"/>
    </font>
    <font>
      <u val="single"/>
      <sz val="10"/>
      <color indexed="20"/>
      <name val="Arial"/>
      <family val="2"/>
    </font>
    <font>
      <sz val="10"/>
      <color indexed="20"/>
      <name val="Arial"/>
      <family val="2"/>
    </font>
    <font>
      <u val="single"/>
      <sz val="10"/>
      <color indexed="12"/>
      <name val="Arial"/>
      <family val="2"/>
    </font>
    <font>
      <sz val="10"/>
      <color indexed="17"/>
      <name val="Arial"/>
      <family val="2"/>
    </font>
    <font>
      <b/>
      <sz val="10"/>
      <color indexed="10"/>
      <name val="Arial"/>
      <family val="2"/>
    </font>
    <font>
      <sz val="10"/>
      <color indexed="10"/>
      <name val="Arial"/>
      <family val="2"/>
    </font>
    <font>
      <sz val="10"/>
      <color indexed="1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i/>
      <sz val="10"/>
      <color indexed="23"/>
      <name val="Arial"/>
      <family val="2"/>
    </font>
    <font>
      <b/>
      <sz val="10"/>
      <color indexed="8"/>
      <name val="Arial"/>
      <family val="2"/>
    </font>
    <font>
      <sz val="10"/>
      <color indexed="62"/>
      <name val="Arial"/>
      <family val="2"/>
    </font>
    <font>
      <b/>
      <sz val="10"/>
      <color indexed="9"/>
      <name val="Arial"/>
      <family val="2"/>
    </font>
    <font>
      <b/>
      <sz val="10"/>
      <color indexed="63"/>
      <name val="Arial"/>
      <family val="2"/>
    </font>
    <font>
      <b/>
      <sz val="8"/>
      <name val="Tahoma"/>
      <family val="2"/>
    </font>
    <font>
      <sz val="10"/>
      <color theme="1"/>
      <name val="Arial"/>
      <family val="2"/>
    </font>
    <font>
      <sz val="10"/>
      <color theme="0"/>
      <name val="Arial"/>
      <family val="2"/>
    </font>
    <font>
      <u val="single"/>
      <sz val="10"/>
      <color theme="11"/>
      <name val="Arial"/>
      <family val="2"/>
    </font>
    <font>
      <sz val="10"/>
      <color rgb="FF9C0006"/>
      <name val="Arial"/>
      <family val="2"/>
    </font>
    <font>
      <u val="single"/>
      <sz val="10"/>
      <color theme="10"/>
      <name val="Arial"/>
      <family val="2"/>
    </font>
    <font>
      <sz val="10"/>
      <color rgb="FF006100"/>
      <name val="Arial"/>
      <family val="2"/>
    </font>
    <font>
      <b/>
      <sz val="10"/>
      <color rgb="FFFA7D0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rgb="FF3F3F76"/>
      <name val="Arial"/>
      <family val="2"/>
    </font>
    <font>
      <b/>
      <sz val="10"/>
      <color theme="0"/>
      <name val="Arial"/>
      <family val="2"/>
    </font>
    <font>
      <b/>
      <sz val="10"/>
      <color rgb="FF3F3F3F"/>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FF00"/>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double"/>
      <bottom>
        <color indexed="63"/>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style="thin"/>
      <right style="thin"/>
      <top style="thin"/>
      <bottom style="thin"/>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172" fontId="4" fillId="0" borderId="0" applyFill="0" applyBorder="0" applyAlignment="0" applyProtection="0"/>
    <xf numFmtId="3" fontId="4" fillId="0" borderId="0" applyFill="0" applyBorder="0" applyAlignment="0" applyProtection="0"/>
    <xf numFmtId="166" fontId="4" fillId="0" borderId="0" applyFill="0" applyBorder="0" applyAlignment="0" applyProtection="0"/>
    <xf numFmtId="164" fontId="4" fillId="0" borderId="0" applyFill="0" applyBorder="0" applyAlignment="0" applyProtection="0"/>
    <xf numFmtId="173" fontId="4" fillId="0" borderId="0" applyFill="0" applyBorder="0" applyAlignment="0" applyProtection="0"/>
    <xf numFmtId="2" fontId="4" fillId="0" borderId="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6" borderId="1" applyNumberFormat="0" applyFont="0" applyAlignment="0" applyProtection="0"/>
    <xf numFmtId="0" fontId="34"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0" fontId="38" fillId="0" borderId="3" applyNumberFormat="0" applyFill="0" applyAlignment="0" applyProtection="0"/>
    <xf numFmtId="0" fontId="39" fillId="30" borderId="0" applyNumberFormat="0" applyBorder="0" applyAlignment="0" applyProtection="0"/>
    <xf numFmtId="0" fontId="4" fillId="0" borderId="0" applyNumberFormat="0" applyFill="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10" fontId="4" fillId="0" borderId="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1" borderId="2" applyNumberFormat="0" applyAlignment="0" applyProtection="0"/>
    <xf numFmtId="0" fontId="47" fillId="32" borderId="8" applyNumberFormat="0" applyAlignment="0" applyProtection="0"/>
    <xf numFmtId="0" fontId="4" fillId="0" borderId="9" applyNumberFormat="0" applyFill="0" applyAlignment="0" applyProtection="0"/>
    <xf numFmtId="0" fontId="48" fillId="29" borderId="10" applyNumberFormat="0" applyAlignment="0" applyProtection="0"/>
    <xf numFmtId="0" fontId="49" fillId="0" borderId="0" applyNumberFormat="0" applyFill="0" applyBorder="0" applyAlignment="0" applyProtection="0"/>
  </cellStyleXfs>
  <cellXfs count="345">
    <xf numFmtId="0" fontId="0" fillId="0" borderId="0" xfId="0" applyAlignment="1">
      <alignment/>
    </xf>
    <xf numFmtId="0" fontId="1" fillId="0" borderId="0" xfId="0" applyFont="1" applyAlignment="1">
      <alignment/>
    </xf>
    <xf numFmtId="9" fontId="1" fillId="0" borderId="0" xfId="0" applyNumberFormat="1" applyFont="1" applyAlignment="1">
      <alignment/>
    </xf>
    <xf numFmtId="179" fontId="1" fillId="0" borderId="0" xfId="0" applyNumberFormat="1" applyFont="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179" fontId="0" fillId="0" borderId="0" xfId="0" applyNumberFormat="1" applyBorder="1" applyAlignment="1">
      <alignment/>
    </xf>
    <xf numFmtId="4" fontId="4" fillId="0" borderId="0" xfId="55" applyNumberFormat="1" applyFont="1" applyBorder="1" applyAlignment="1">
      <alignment/>
    </xf>
    <xf numFmtId="2" fontId="0" fillId="0" borderId="0" xfId="0" applyNumberFormat="1" applyBorder="1" applyAlignment="1">
      <alignment/>
    </xf>
    <xf numFmtId="0" fontId="0" fillId="0" borderId="16" xfId="0" applyBorder="1" applyAlignment="1">
      <alignment/>
    </xf>
    <xf numFmtId="0" fontId="0" fillId="0" borderId="17" xfId="0" applyBorder="1" applyAlignment="1">
      <alignment/>
    </xf>
    <xf numFmtId="2" fontId="0" fillId="0" borderId="17" xfId="0" applyNumberFormat="1" applyBorder="1" applyAlignment="1">
      <alignment/>
    </xf>
    <xf numFmtId="4" fontId="4" fillId="0" borderId="17" xfId="55" applyNumberFormat="1" applyFont="1" applyBorder="1" applyAlignment="1">
      <alignment/>
    </xf>
    <xf numFmtId="0" fontId="0" fillId="0" borderId="18" xfId="0" applyBorder="1" applyAlignment="1">
      <alignment/>
    </xf>
    <xf numFmtId="0" fontId="0" fillId="0" borderId="19" xfId="0" applyBorder="1" applyAlignment="1">
      <alignment/>
    </xf>
    <xf numFmtId="179" fontId="0" fillId="0" borderId="19" xfId="0" applyNumberFormat="1" applyBorder="1" applyAlignment="1">
      <alignment/>
    </xf>
    <xf numFmtId="4" fontId="4" fillId="0" borderId="19" xfId="55" applyNumberFormat="1" applyFont="1" applyBorder="1" applyAlignment="1">
      <alignment/>
    </xf>
    <xf numFmtId="0" fontId="0" fillId="0" borderId="20" xfId="0" applyBorder="1" applyAlignment="1">
      <alignment/>
    </xf>
    <xf numFmtId="2" fontId="0" fillId="0" borderId="0" xfId="0" applyNumberFormat="1" applyAlignment="1">
      <alignment/>
    </xf>
    <xf numFmtId="178" fontId="0" fillId="0" borderId="0" xfId="0" applyNumberFormat="1" applyAlignment="1">
      <alignment/>
    </xf>
    <xf numFmtId="2" fontId="1" fillId="0" borderId="0" xfId="0" applyNumberFormat="1" applyFont="1" applyAlignment="1">
      <alignment/>
    </xf>
    <xf numFmtId="9" fontId="0" fillId="0" borderId="0" xfId="0" applyNumberFormat="1" applyAlignment="1">
      <alignment horizontal="left"/>
    </xf>
    <xf numFmtId="177" fontId="0" fillId="0" borderId="0" xfId="0" applyNumberFormat="1" applyAlignment="1">
      <alignment/>
    </xf>
    <xf numFmtId="0" fontId="0" fillId="0" borderId="12" xfId="0" applyBorder="1" applyAlignment="1">
      <alignment horizontal="left"/>
    </xf>
    <xf numFmtId="0" fontId="0" fillId="0" borderId="15" xfId="0" applyBorder="1" applyAlignment="1">
      <alignment horizontal="left"/>
    </xf>
    <xf numFmtId="0" fontId="0" fillId="0" borderId="21" xfId="0" applyBorder="1" applyAlignment="1">
      <alignment/>
    </xf>
    <xf numFmtId="0" fontId="0" fillId="0" borderId="22" xfId="0" applyBorder="1" applyAlignment="1">
      <alignment/>
    </xf>
    <xf numFmtId="2" fontId="0" fillId="0" borderId="22" xfId="0" applyNumberFormat="1" applyBorder="1" applyAlignment="1">
      <alignment/>
    </xf>
    <xf numFmtId="2" fontId="0" fillId="0" borderId="23" xfId="0" applyNumberFormat="1" applyBorder="1" applyAlignment="1">
      <alignment/>
    </xf>
    <xf numFmtId="0" fontId="0" fillId="0" borderId="23" xfId="0" applyBorder="1" applyAlignment="1">
      <alignment/>
    </xf>
    <xf numFmtId="0" fontId="1" fillId="0" borderId="23" xfId="0" applyFont="1" applyBorder="1" applyAlignment="1">
      <alignment/>
    </xf>
    <xf numFmtId="0" fontId="0" fillId="0" borderId="24" xfId="0" applyFont="1" applyBorder="1" applyAlignment="1">
      <alignment/>
    </xf>
    <xf numFmtId="183" fontId="0" fillId="0" borderId="25" xfId="0" applyNumberFormat="1" applyBorder="1" applyAlignment="1">
      <alignment/>
    </xf>
    <xf numFmtId="0" fontId="0" fillId="0" borderId="26" xfId="0" applyBorder="1" applyAlignment="1">
      <alignment/>
    </xf>
    <xf numFmtId="2" fontId="0" fillId="0" borderId="25" xfId="0" applyNumberFormat="1" applyBorder="1" applyAlignment="1">
      <alignment/>
    </xf>
    <xf numFmtId="185" fontId="0" fillId="0" borderId="27" xfId="0" applyNumberFormat="1" applyBorder="1" applyAlignment="1">
      <alignment/>
    </xf>
    <xf numFmtId="0" fontId="0" fillId="0" borderId="28" xfId="0" applyBorder="1" applyAlignment="1">
      <alignment/>
    </xf>
    <xf numFmtId="0" fontId="1" fillId="0" borderId="21" xfId="0" applyFont="1" applyBorder="1" applyAlignment="1">
      <alignment/>
    </xf>
    <xf numFmtId="0" fontId="1" fillId="0" borderId="22" xfId="0" applyFont="1" applyBorder="1" applyAlignment="1">
      <alignment/>
    </xf>
    <xf numFmtId="174" fontId="4" fillId="0" borderId="22" xfId="55" applyNumberFormat="1" applyFont="1" applyBorder="1" applyAlignment="1">
      <alignment/>
    </xf>
    <xf numFmtId="174" fontId="4" fillId="0" borderId="28" xfId="55" applyNumberFormat="1" applyFont="1" applyBorder="1" applyAlignment="1">
      <alignment/>
    </xf>
    <xf numFmtId="174" fontId="4" fillId="0" borderId="23" xfId="55" applyNumberFormat="1" applyFont="1" applyBorder="1" applyAlignment="1">
      <alignment/>
    </xf>
    <xf numFmtId="2" fontId="0" fillId="0" borderId="28" xfId="0" applyNumberFormat="1" applyBorder="1" applyAlignment="1">
      <alignment/>
    </xf>
    <xf numFmtId="0" fontId="0" fillId="0" borderId="29" xfId="0" applyBorder="1" applyAlignment="1">
      <alignment/>
    </xf>
    <xf numFmtId="0" fontId="0" fillId="0" borderId="30" xfId="0" applyBorder="1" applyAlignment="1">
      <alignment/>
    </xf>
    <xf numFmtId="179" fontId="0" fillId="0" borderId="30" xfId="0" applyNumberFormat="1" applyBorder="1" applyAlignment="1">
      <alignment/>
    </xf>
    <xf numFmtId="4" fontId="4" fillId="0" borderId="30" xfId="55" applyNumberFormat="1" applyFont="1" applyBorder="1" applyAlignment="1">
      <alignment/>
    </xf>
    <xf numFmtId="174" fontId="4" fillId="0" borderId="29" xfId="55" applyNumberFormat="1" applyFont="1" applyBorder="1" applyAlignment="1">
      <alignment/>
    </xf>
    <xf numFmtId="0" fontId="0" fillId="0" borderId="31" xfId="0" applyBorder="1" applyAlignment="1">
      <alignment/>
    </xf>
    <xf numFmtId="180" fontId="0" fillId="0" borderId="0" xfId="0" applyNumberFormat="1" applyBorder="1" applyAlignment="1">
      <alignment/>
    </xf>
    <xf numFmtId="180" fontId="0" fillId="0" borderId="17" xfId="0" applyNumberFormat="1" applyBorder="1" applyAlignment="1">
      <alignment/>
    </xf>
    <xf numFmtId="185" fontId="0" fillId="0" borderId="21" xfId="0" applyNumberFormat="1" applyBorder="1" applyAlignment="1">
      <alignment/>
    </xf>
    <xf numFmtId="185" fontId="0" fillId="0" borderId="22" xfId="0" applyNumberFormat="1" applyBorder="1" applyAlignment="1">
      <alignment/>
    </xf>
    <xf numFmtId="185" fontId="0" fillId="0" borderId="23" xfId="0" applyNumberFormat="1" applyBorder="1" applyAlignment="1">
      <alignment/>
    </xf>
    <xf numFmtId="180" fontId="0" fillId="0" borderId="12" xfId="0" applyNumberFormat="1" applyBorder="1" applyAlignment="1">
      <alignment/>
    </xf>
    <xf numFmtId="2" fontId="0" fillId="0" borderId="12" xfId="0" applyNumberFormat="1" applyBorder="1" applyAlignment="1">
      <alignment/>
    </xf>
    <xf numFmtId="180" fontId="0" fillId="0" borderId="19" xfId="0" applyNumberFormat="1" applyBorder="1" applyAlignment="1">
      <alignment/>
    </xf>
    <xf numFmtId="2" fontId="0" fillId="0" borderId="19" xfId="0" applyNumberFormat="1" applyBorder="1" applyAlignment="1">
      <alignment/>
    </xf>
    <xf numFmtId="185" fontId="0" fillId="0" borderId="28" xfId="0" applyNumberFormat="1" applyBorder="1" applyAlignment="1">
      <alignment/>
    </xf>
    <xf numFmtId="0" fontId="0" fillId="0" borderId="32" xfId="0" applyBorder="1" applyAlignment="1">
      <alignment/>
    </xf>
    <xf numFmtId="180" fontId="0" fillId="0" borderId="33" xfId="0" applyNumberFormat="1" applyBorder="1" applyAlignment="1">
      <alignment/>
    </xf>
    <xf numFmtId="2" fontId="0" fillId="0" borderId="33" xfId="0" applyNumberFormat="1" applyBorder="1" applyAlignment="1">
      <alignment/>
    </xf>
    <xf numFmtId="185" fontId="0" fillId="0" borderId="32" xfId="0" applyNumberFormat="1" applyBorder="1" applyAlignment="1">
      <alignment/>
    </xf>
    <xf numFmtId="185" fontId="0" fillId="0" borderId="0" xfId="0" applyNumberFormat="1" applyBorder="1" applyAlignment="1">
      <alignment/>
    </xf>
    <xf numFmtId="49" fontId="0" fillId="0" borderId="0" xfId="0" applyNumberFormat="1" applyAlignment="1">
      <alignment/>
    </xf>
    <xf numFmtId="0" fontId="0" fillId="0" borderId="34" xfId="0" applyBorder="1" applyAlignment="1">
      <alignment/>
    </xf>
    <xf numFmtId="9" fontId="0" fillId="0" borderId="30" xfId="0" applyNumberFormat="1" applyBorder="1" applyAlignment="1">
      <alignment horizontal="center"/>
    </xf>
    <xf numFmtId="49" fontId="0" fillId="0" borderId="35" xfId="0" applyNumberFormat="1" applyBorder="1" applyAlignment="1">
      <alignment/>
    </xf>
    <xf numFmtId="49" fontId="0" fillId="0" borderId="36" xfId="0" applyNumberFormat="1" applyBorder="1" applyAlignment="1">
      <alignment/>
    </xf>
    <xf numFmtId="9" fontId="0" fillId="0" borderId="37" xfId="0" applyNumberFormat="1" applyBorder="1" applyAlignment="1">
      <alignment horizontal="center"/>
    </xf>
    <xf numFmtId="2" fontId="0" fillId="0" borderId="38" xfId="0" applyNumberFormat="1" applyBorder="1" applyAlignment="1">
      <alignment/>
    </xf>
    <xf numFmtId="2" fontId="0" fillId="0" borderId="39" xfId="0" applyNumberFormat="1" applyBorder="1" applyAlignment="1">
      <alignment/>
    </xf>
    <xf numFmtId="2" fontId="1" fillId="0" borderId="39" xfId="0" applyNumberFormat="1" applyFont="1" applyBorder="1" applyAlignment="1">
      <alignment/>
    </xf>
    <xf numFmtId="177" fontId="1" fillId="0" borderId="38" xfId="0" applyNumberFormat="1" applyFont="1" applyBorder="1" applyAlignment="1">
      <alignment/>
    </xf>
    <xf numFmtId="49" fontId="0" fillId="0" borderId="34" xfId="0" applyNumberFormat="1" applyBorder="1" applyAlignment="1">
      <alignment/>
    </xf>
    <xf numFmtId="2" fontId="0" fillId="0" borderId="30" xfId="0" applyNumberFormat="1" applyBorder="1" applyAlignment="1">
      <alignment/>
    </xf>
    <xf numFmtId="2" fontId="0" fillId="0" borderId="37" xfId="0" applyNumberFormat="1" applyBorder="1" applyAlignment="1">
      <alignment/>
    </xf>
    <xf numFmtId="2" fontId="0" fillId="0" borderId="40" xfId="0" applyNumberFormat="1" applyBorder="1" applyAlignment="1">
      <alignment/>
    </xf>
    <xf numFmtId="0" fontId="0" fillId="0" borderId="35" xfId="0" applyBorder="1" applyAlignment="1">
      <alignment/>
    </xf>
    <xf numFmtId="177" fontId="1" fillId="0" borderId="41" xfId="0" applyNumberFormat="1" applyFont="1" applyBorder="1" applyAlignment="1">
      <alignment/>
    </xf>
    <xf numFmtId="0" fontId="0" fillId="0" borderId="41" xfId="0" applyBorder="1" applyAlignment="1">
      <alignment/>
    </xf>
    <xf numFmtId="2" fontId="0" fillId="0" borderId="42" xfId="0" applyNumberFormat="1" applyBorder="1" applyAlignment="1">
      <alignment/>
    </xf>
    <xf numFmtId="2" fontId="1" fillId="0" borderId="40" xfId="0" applyNumberFormat="1" applyFont="1" applyBorder="1" applyAlignment="1">
      <alignment/>
    </xf>
    <xf numFmtId="9" fontId="0" fillId="0" borderId="42" xfId="0" applyNumberFormat="1" applyBorder="1" applyAlignment="1">
      <alignment/>
    </xf>
    <xf numFmtId="2" fontId="0" fillId="0" borderId="36" xfId="0" applyNumberFormat="1" applyBorder="1" applyAlignment="1">
      <alignment/>
    </xf>
    <xf numFmtId="2" fontId="0" fillId="0" borderId="35" xfId="0" applyNumberFormat="1" applyBorder="1" applyAlignment="1">
      <alignment/>
    </xf>
    <xf numFmtId="2" fontId="0" fillId="0" borderId="41" xfId="0" applyNumberFormat="1" applyBorder="1" applyAlignment="1">
      <alignment/>
    </xf>
    <xf numFmtId="2" fontId="1" fillId="0" borderId="41" xfId="0" applyNumberFormat="1" applyFont="1" applyBorder="1" applyAlignment="1">
      <alignment/>
    </xf>
    <xf numFmtId="177" fontId="1" fillId="0" borderId="40" xfId="0" applyNumberFormat="1" applyFont="1" applyBorder="1" applyAlignment="1">
      <alignment/>
    </xf>
    <xf numFmtId="49" fontId="0" fillId="0" borderId="0" xfId="0" applyNumberFormat="1" applyBorder="1" applyAlignment="1">
      <alignment horizontal="center"/>
    </xf>
    <xf numFmtId="49" fontId="0" fillId="0" borderId="40" xfId="0" applyNumberFormat="1" applyBorder="1" applyAlignment="1">
      <alignment horizontal="center"/>
    </xf>
    <xf numFmtId="2" fontId="0" fillId="0" borderId="34" xfId="0" applyNumberFormat="1" applyBorder="1" applyAlignment="1">
      <alignment/>
    </xf>
    <xf numFmtId="182" fontId="1" fillId="0" borderId="19" xfId="0" applyNumberFormat="1" applyFont="1" applyBorder="1" applyAlignment="1">
      <alignment/>
    </xf>
    <xf numFmtId="49" fontId="0" fillId="0" borderId="42" xfId="0" applyNumberFormat="1" applyBorder="1" applyAlignment="1">
      <alignment horizontal="center"/>
    </xf>
    <xf numFmtId="0" fontId="0" fillId="0" borderId="36" xfId="0" applyBorder="1" applyAlignment="1">
      <alignment/>
    </xf>
    <xf numFmtId="182" fontId="1" fillId="0" borderId="41" xfId="0" applyNumberFormat="1" applyFont="1" applyBorder="1" applyAlignment="1">
      <alignment/>
    </xf>
    <xf numFmtId="0" fontId="0" fillId="0" borderId="22" xfId="0" applyFont="1" applyBorder="1" applyAlignment="1">
      <alignment/>
    </xf>
    <xf numFmtId="174" fontId="4" fillId="0" borderId="0" xfId="55" applyNumberFormat="1" applyFont="1" applyBorder="1" applyAlignment="1">
      <alignment/>
    </xf>
    <xf numFmtId="0" fontId="0" fillId="0" borderId="43" xfId="0" applyBorder="1" applyAlignment="1">
      <alignment/>
    </xf>
    <xf numFmtId="0" fontId="0" fillId="0" borderId="0" xfId="0" applyFont="1" applyBorder="1" applyAlignment="1">
      <alignment/>
    </xf>
    <xf numFmtId="179" fontId="0" fillId="0" borderId="43" xfId="0" applyNumberFormat="1" applyBorder="1" applyAlignment="1">
      <alignment/>
    </xf>
    <xf numFmtId="179" fontId="0" fillId="0" borderId="22" xfId="0" applyNumberFormat="1" applyBorder="1" applyAlignment="1">
      <alignment/>
    </xf>
    <xf numFmtId="2" fontId="0" fillId="0" borderId="14" xfId="0" applyNumberFormat="1" applyBorder="1" applyAlignment="1">
      <alignment/>
    </xf>
    <xf numFmtId="0" fontId="0" fillId="0" borderId="11"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1" fillId="0" borderId="21" xfId="0" applyFont="1" applyBorder="1" applyAlignment="1">
      <alignment horizontal="left"/>
    </xf>
    <xf numFmtId="4" fontId="4" fillId="0" borderId="22" xfId="55" applyNumberFormat="1" applyFont="1" applyBorder="1" applyAlignment="1">
      <alignment/>
    </xf>
    <xf numFmtId="4" fontId="4" fillId="0" borderId="28" xfId="55" applyNumberFormat="1" applyFont="1" applyBorder="1" applyAlignment="1">
      <alignment/>
    </xf>
    <xf numFmtId="4" fontId="4" fillId="0" borderId="23" xfId="55" applyNumberFormat="1" applyFont="1" applyBorder="1" applyAlignment="1">
      <alignment/>
    </xf>
    <xf numFmtId="1" fontId="0" fillId="0" borderId="22" xfId="0" applyNumberFormat="1" applyBorder="1" applyAlignment="1">
      <alignment/>
    </xf>
    <xf numFmtId="0" fontId="1" fillId="0" borderId="11" xfId="0" applyFont="1" applyBorder="1" applyAlignment="1">
      <alignment/>
    </xf>
    <xf numFmtId="0" fontId="1" fillId="0" borderId="14" xfId="0" applyFont="1" applyBorder="1" applyAlignment="1">
      <alignment/>
    </xf>
    <xf numFmtId="0" fontId="1" fillId="0" borderId="16" xfId="0" applyFont="1" applyBorder="1" applyAlignment="1">
      <alignment/>
    </xf>
    <xf numFmtId="174" fontId="4" fillId="0" borderId="14" xfId="55" applyNumberFormat="1" applyFont="1" applyBorder="1" applyAlignment="1">
      <alignment/>
    </xf>
    <xf numFmtId="174" fontId="4" fillId="0" borderId="25" xfId="55" applyNumberFormat="1" applyFont="1" applyBorder="1" applyAlignment="1">
      <alignment/>
    </xf>
    <xf numFmtId="0" fontId="0" fillId="0" borderId="44" xfId="0" applyBorder="1" applyAlignment="1">
      <alignment/>
    </xf>
    <xf numFmtId="0" fontId="0" fillId="0" borderId="33" xfId="0" applyFont="1" applyBorder="1" applyAlignment="1">
      <alignment/>
    </xf>
    <xf numFmtId="0" fontId="0" fillId="0" borderId="32" xfId="0" applyFont="1" applyBorder="1" applyAlignment="1">
      <alignment/>
    </xf>
    <xf numFmtId="179" fontId="0" fillId="0" borderId="33" xfId="0" applyNumberFormat="1" applyBorder="1" applyAlignment="1">
      <alignment/>
    </xf>
    <xf numFmtId="4" fontId="4" fillId="0" borderId="32" xfId="55" applyNumberFormat="1" applyFont="1" applyBorder="1" applyAlignment="1">
      <alignment/>
    </xf>
    <xf numFmtId="174" fontId="4" fillId="0" borderId="33" xfId="55" applyNumberFormat="1" applyFont="1" applyBorder="1" applyAlignment="1">
      <alignment/>
    </xf>
    <xf numFmtId="174" fontId="4" fillId="0" borderId="32" xfId="55" applyNumberFormat="1" applyFont="1" applyBorder="1" applyAlignment="1">
      <alignment/>
    </xf>
    <xf numFmtId="0" fontId="0" fillId="0" borderId="45" xfId="0" applyBorder="1" applyAlignment="1">
      <alignment/>
    </xf>
    <xf numFmtId="0" fontId="0" fillId="0" borderId="23" xfId="0" applyBorder="1" applyAlignment="1">
      <alignment horizontal="left"/>
    </xf>
    <xf numFmtId="179" fontId="0" fillId="0" borderId="32" xfId="0" applyNumberFormat="1" applyBorder="1" applyAlignment="1">
      <alignment/>
    </xf>
    <xf numFmtId="174" fontId="0" fillId="0" borderId="25" xfId="0" applyNumberFormat="1" applyBorder="1" applyAlignment="1">
      <alignment/>
    </xf>
    <xf numFmtId="0" fontId="0" fillId="0" borderId="0" xfId="0" applyBorder="1" applyAlignment="1">
      <alignment horizontal="left"/>
    </xf>
    <xf numFmtId="0" fontId="0" fillId="0" borderId="0" xfId="0" applyAlignment="1">
      <alignment horizontal="center"/>
    </xf>
    <xf numFmtId="0" fontId="0" fillId="0" borderId="42" xfId="0" applyBorder="1" applyAlignment="1">
      <alignment/>
    </xf>
    <xf numFmtId="0" fontId="0" fillId="0" borderId="40" xfId="0" applyBorder="1" applyAlignment="1">
      <alignment/>
    </xf>
    <xf numFmtId="0" fontId="0" fillId="0" borderId="37" xfId="0" applyBorder="1" applyAlignment="1">
      <alignment/>
    </xf>
    <xf numFmtId="0" fontId="0" fillId="0" borderId="39" xfId="0" applyBorder="1" applyAlignment="1">
      <alignment/>
    </xf>
    <xf numFmtId="0" fontId="0" fillId="0" borderId="38" xfId="0" applyBorder="1" applyAlignment="1">
      <alignment/>
    </xf>
    <xf numFmtId="0" fontId="0" fillId="0" borderId="46" xfId="0" applyBorder="1" applyAlignment="1">
      <alignment/>
    </xf>
    <xf numFmtId="179" fontId="0" fillId="0" borderId="38" xfId="0" applyNumberFormat="1" applyBorder="1" applyAlignment="1">
      <alignment/>
    </xf>
    <xf numFmtId="0" fontId="1" fillId="0" borderId="0" xfId="0" applyFont="1" applyBorder="1" applyAlignment="1">
      <alignment/>
    </xf>
    <xf numFmtId="2" fontId="0" fillId="0" borderId="15" xfId="0" applyNumberFormat="1" applyBorder="1" applyAlignment="1">
      <alignment/>
    </xf>
    <xf numFmtId="0" fontId="1" fillId="0" borderId="19" xfId="0" applyFont="1" applyBorder="1" applyAlignment="1">
      <alignment/>
    </xf>
    <xf numFmtId="0" fontId="0" fillId="0" borderId="33" xfId="0" applyBorder="1" applyAlignment="1">
      <alignment/>
    </xf>
    <xf numFmtId="0" fontId="0" fillId="0" borderId="47" xfId="0" applyBorder="1" applyAlignment="1">
      <alignment/>
    </xf>
    <xf numFmtId="0" fontId="0" fillId="0" borderId="36" xfId="0" applyBorder="1" applyAlignment="1">
      <alignment horizontal="left"/>
    </xf>
    <xf numFmtId="0" fontId="0" fillId="0" borderId="35" xfId="0" applyBorder="1" applyAlignment="1">
      <alignment horizontal="left"/>
    </xf>
    <xf numFmtId="179" fontId="0" fillId="0" borderId="0" xfId="0" applyNumberFormat="1" applyAlignment="1">
      <alignment/>
    </xf>
    <xf numFmtId="179" fontId="1" fillId="0" borderId="12" xfId="0" applyNumberFormat="1" applyFont="1" applyBorder="1" applyAlignment="1">
      <alignment/>
    </xf>
    <xf numFmtId="2" fontId="1" fillId="0" borderId="0" xfId="0" applyNumberFormat="1" applyFont="1" applyBorder="1" applyAlignment="1">
      <alignment/>
    </xf>
    <xf numFmtId="2" fontId="0" fillId="0" borderId="16" xfId="0" applyNumberFormat="1" applyBorder="1" applyAlignment="1">
      <alignment/>
    </xf>
    <xf numFmtId="179" fontId="1" fillId="0" borderId="21" xfId="0" applyNumberFormat="1" applyFont="1" applyBorder="1" applyAlignment="1">
      <alignment/>
    </xf>
    <xf numFmtId="2" fontId="1" fillId="0" borderId="22" xfId="0" applyNumberFormat="1" applyFont="1" applyBorder="1" applyAlignment="1">
      <alignment/>
    </xf>
    <xf numFmtId="0" fontId="1" fillId="0" borderId="24" xfId="0" applyFont="1" applyBorder="1" applyAlignment="1">
      <alignment/>
    </xf>
    <xf numFmtId="179" fontId="1" fillId="0" borderId="26" xfId="0" applyNumberFormat="1" applyFont="1" applyBorder="1" applyAlignment="1">
      <alignment/>
    </xf>
    <xf numFmtId="179" fontId="1" fillId="0" borderId="25" xfId="0" applyNumberFormat="1" applyFont="1" applyBorder="1" applyAlignment="1">
      <alignment/>
    </xf>
    <xf numFmtId="0" fontId="0" fillId="0" borderId="37" xfId="0" applyBorder="1" applyAlignment="1">
      <alignment horizontal="left"/>
    </xf>
    <xf numFmtId="0" fontId="0" fillId="0" borderId="46" xfId="0" applyBorder="1" applyAlignment="1">
      <alignment horizontal="right"/>
    </xf>
    <xf numFmtId="1" fontId="0" fillId="0" borderId="0" xfId="0" applyNumberFormat="1" applyBorder="1" applyAlignment="1">
      <alignment/>
    </xf>
    <xf numFmtId="1" fontId="0" fillId="0" borderId="39" xfId="0" applyNumberFormat="1" applyBorder="1" applyAlignment="1">
      <alignment/>
    </xf>
    <xf numFmtId="1" fontId="0" fillId="0" borderId="38" xfId="0" applyNumberFormat="1" applyBorder="1" applyAlignment="1">
      <alignment/>
    </xf>
    <xf numFmtId="0" fontId="0" fillId="0" borderId="44" xfId="0" applyBorder="1" applyAlignment="1">
      <alignment horizontal="right"/>
    </xf>
    <xf numFmtId="179" fontId="0" fillId="0" borderId="17" xfId="0" applyNumberFormat="1" applyFont="1" applyBorder="1" applyAlignment="1">
      <alignment/>
    </xf>
    <xf numFmtId="179" fontId="0" fillId="0" borderId="23" xfId="0" applyNumberFormat="1" applyFont="1" applyBorder="1" applyAlignment="1">
      <alignment/>
    </xf>
    <xf numFmtId="1" fontId="0" fillId="0" borderId="30" xfId="0" applyNumberFormat="1" applyBorder="1" applyAlignment="1">
      <alignment/>
    </xf>
    <xf numFmtId="1" fontId="0" fillId="0" borderId="19" xfId="0" applyNumberFormat="1" applyBorder="1" applyAlignment="1">
      <alignment/>
    </xf>
    <xf numFmtId="1" fontId="0" fillId="0" borderId="33" xfId="0" applyNumberFormat="1" applyBorder="1" applyAlignment="1">
      <alignment/>
    </xf>
    <xf numFmtId="1" fontId="0" fillId="0" borderId="37" xfId="0" applyNumberFormat="1" applyBorder="1" applyAlignment="1">
      <alignment/>
    </xf>
    <xf numFmtId="1" fontId="0" fillId="0" borderId="46" xfId="0" applyNumberFormat="1" applyBorder="1" applyAlignment="1">
      <alignment/>
    </xf>
    <xf numFmtId="2" fontId="1" fillId="0" borderId="19" xfId="0" applyNumberFormat="1" applyFont="1" applyBorder="1" applyAlignment="1">
      <alignment/>
    </xf>
    <xf numFmtId="0" fontId="7" fillId="0" borderId="21" xfId="0" applyFont="1" applyBorder="1" applyAlignment="1">
      <alignment/>
    </xf>
    <xf numFmtId="0" fontId="7" fillId="0" borderId="12" xfId="0" applyFont="1" applyBorder="1" applyAlignment="1">
      <alignment/>
    </xf>
    <xf numFmtId="0" fontId="8" fillId="0" borderId="21" xfId="0" applyFont="1" applyBorder="1" applyAlignment="1">
      <alignment/>
    </xf>
    <xf numFmtId="0" fontId="7" fillId="0" borderId="13" xfId="0" applyFont="1" applyBorder="1" applyAlignment="1">
      <alignment/>
    </xf>
    <xf numFmtId="0" fontId="7" fillId="0" borderId="22" xfId="0" applyFont="1" applyBorder="1" applyAlignment="1">
      <alignment/>
    </xf>
    <xf numFmtId="0" fontId="7" fillId="0" borderId="0" xfId="0" applyFont="1" applyBorder="1" applyAlignment="1">
      <alignment/>
    </xf>
    <xf numFmtId="0" fontId="8" fillId="0" borderId="22" xfId="0" applyFont="1" applyBorder="1" applyAlignment="1">
      <alignment/>
    </xf>
    <xf numFmtId="0" fontId="7" fillId="0" borderId="15" xfId="0" applyFont="1" applyBorder="1" applyAlignment="1">
      <alignment/>
    </xf>
    <xf numFmtId="0" fontId="7" fillId="0" borderId="23" xfId="0" applyFont="1" applyBorder="1" applyAlignment="1">
      <alignment/>
    </xf>
    <xf numFmtId="0" fontId="7" fillId="0" borderId="17" xfId="0" applyFont="1" applyBorder="1" applyAlignment="1">
      <alignment/>
    </xf>
    <xf numFmtId="0" fontId="8" fillId="0" borderId="23" xfId="0" applyFont="1" applyBorder="1" applyAlignment="1">
      <alignment/>
    </xf>
    <xf numFmtId="0" fontId="7" fillId="0" borderId="18" xfId="0" applyFont="1" applyBorder="1" applyAlignment="1">
      <alignment/>
    </xf>
    <xf numFmtId="0" fontId="7" fillId="0" borderId="22"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15" xfId="0" applyFont="1" applyBorder="1" applyAlignment="1">
      <alignment/>
    </xf>
    <xf numFmtId="0" fontId="7" fillId="0" borderId="20" xfId="0" applyFont="1" applyBorder="1" applyAlignment="1">
      <alignment/>
    </xf>
    <xf numFmtId="0" fontId="7" fillId="0" borderId="31" xfId="0" applyFont="1" applyBorder="1" applyAlignment="1">
      <alignment/>
    </xf>
    <xf numFmtId="0" fontId="7" fillId="0" borderId="25" xfId="0" applyFont="1" applyBorder="1" applyAlignment="1">
      <alignment/>
    </xf>
    <xf numFmtId="0" fontId="7" fillId="0" borderId="27" xfId="0" applyFont="1" applyBorder="1" applyAlignment="1">
      <alignment/>
    </xf>
    <xf numFmtId="4" fontId="6" fillId="0" borderId="25" xfId="55" applyNumberFormat="1" applyFont="1" applyBorder="1" applyAlignment="1">
      <alignment horizontal="center"/>
    </xf>
    <xf numFmtId="179" fontId="7" fillId="0" borderId="0" xfId="0" applyNumberFormat="1" applyFont="1" applyBorder="1" applyAlignment="1">
      <alignment horizontal="center"/>
    </xf>
    <xf numFmtId="179" fontId="7" fillId="0" borderId="43" xfId="0" applyNumberFormat="1" applyFont="1" applyBorder="1" applyAlignment="1">
      <alignment horizontal="center"/>
    </xf>
    <xf numFmtId="2" fontId="7" fillId="0" borderId="26" xfId="0" applyNumberFormat="1" applyFont="1" applyBorder="1" applyAlignment="1">
      <alignment horizontal="center"/>
    </xf>
    <xf numFmtId="0" fontId="7" fillId="0" borderId="22" xfId="0" applyFont="1" applyBorder="1" applyAlignment="1">
      <alignment horizontal="center"/>
    </xf>
    <xf numFmtId="179" fontId="7" fillId="0" borderId="19" xfId="0" applyNumberFormat="1" applyFont="1" applyBorder="1" applyAlignment="1">
      <alignment horizontal="center"/>
    </xf>
    <xf numFmtId="179" fontId="7" fillId="0" borderId="30" xfId="0" applyNumberFormat="1" applyFont="1" applyBorder="1" applyAlignment="1">
      <alignment horizontal="center"/>
    </xf>
    <xf numFmtId="179" fontId="7" fillId="0" borderId="26" xfId="0" applyNumberFormat="1"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17" xfId="0" applyFont="1" applyBorder="1" applyAlignment="1">
      <alignment horizontal="center"/>
    </xf>
    <xf numFmtId="0" fontId="9" fillId="0" borderId="0" xfId="0" applyFont="1" applyAlignment="1">
      <alignment/>
    </xf>
    <xf numFmtId="0" fontId="10" fillId="0" borderId="0" xfId="0" applyFont="1" applyAlignment="1">
      <alignment/>
    </xf>
    <xf numFmtId="0" fontId="7" fillId="0" borderId="21" xfId="0" applyFont="1" applyBorder="1" applyAlignment="1">
      <alignment horizontal="center"/>
    </xf>
    <xf numFmtId="0" fontId="8" fillId="0" borderId="22" xfId="0" applyFont="1" applyBorder="1" applyAlignment="1">
      <alignment horizontal="center"/>
    </xf>
    <xf numFmtId="0" fontId="7" fillId="0" borderId="23" xfId="0" applyFont="1" applyBorder="1" applyAlignment="1">
      <alignment horizontal="center"/>
    </xf>
    <xf numFmtId="0" fontId="8" fillId="0" borderId="48" xfId="0" applyFont="1" applyBorder="1" applyAlignment="1">
      <alignment horizontal="left"/>
    </xf>
    <xf numFmtId="0" fontId="8" fillId="0" borderId="49" xfId="0" applyFont="1" applyBorder="1" applyAlignment="1">
      <alignment/>
    </xf>
    <xf numFmtId="0" fontId="8" fillId="0" borderId="50" xfId="0" applyFont="1" applyBorder="1" applyAlignment="1">
      <alignment/>
    </xf>
    <xf numFmtId="1" fontId="0" fillId="0" borderId="34" xfId="0" applyNumberFormat="1" applyBorder="1" applyAlignment="1">
      <alignment/>
    </xf>
    <xf numFmtId="1" fontId="0" fillId="0" borderId="36" xfId="0" applyNumberFormat="1" applyBorder="1" applyAlignment="1">
      <alignment/>
    </xf>
    <xf numFmtId="1" fontId="0" fillId="0" borderId="35" xfId="0" applyNumberFormat="1" applyBorder="1" applyAlignment="1">
      <alignment/>
    </xf>
    <xf numFmtId="2" fontId="0" fillId="0" borderId="24" xfId="0" applyNumberFormat="1" applyBorder="1" applyAlignment="1">
      <alignment/>
    </xf>
    <xf numFmtId="1" fontId="0" fillId="0" borderId="51" xfId="0" applyNumberFormat="1" applyBorder="1" applyAlignment="1">
      <alignment/>
    </xf>
    <xf numFmtId="1" fontId="0" fillId="0" borderId="52" xfId="0" applyNumberFormat="1" applyBorder="1" applyAlignment="1">
      <alignment/>
    </xf>
    <xf numFmtId="0" fontId="0" fillId="0" borderId="53" xfId="0" applyBorder="1" applyAlignment="1">
      <alignment/>
    </xf>
    <xf numFmtId="1" fontId="0" fillId="0" borderId="0" xfId="0" applyNumberFormat="1" applyAlignment="1">
      <alignment/>
    </xf>
    <xf numFmtId="0" fontId="7" fillId="0" borderId="28" xfId="0" applyFont="1" applyBorder="1" applyAlignment="1">
      <alignment horizontal="center"/>
    </xf>
    <xf numFmtId="4" fontId="6" fillId="0" borderId="22" xfId="55" applyNumberFormat="1" applyFont="1" applyBorder="1" applyAlignment="1">
      <alignment horizontal="center"/>
    </xf>
    <xf numFmtId="4" fontId="6" fillId="0" borderId="28" xfId="55" applyNumberFormat="1" applyFont="1" applyBorder="1" applyAlignment="1">
      <alignment horizontal="center"/>
    </xf>
    <xf numFmtId="4" fontId="6" fillId="0" borderId="29" xfId="55" applyNumberFormat="1" applyFont="1" applyBorder="1" applyAlignment="1">
      <alignment horizontal="center"/>
    </xf>
    <xf numFmtId="4" fontId="6" fillId="0" borderId="49" xfId="55" applyNumberFormat="1" applyFont="1" applyBorder="1" applyAlignment="1">
      <alignment horizontal="center"/>
    </xf>
    <xf numFmtId="4" fontId="6" fillId="0" borderId="54" xfId="55" applyNumberFormat="1" applyFont="1" applyBorder="1" applyAlignment="1">
      <alignment horizontal="center"/>
    </xf>
    <xf numFmtId="4" fontId="6" fillId="0" borderId="53" xfId="55" applyNumberFormat="1" applyFont="1" applyBorder="1" applyAlignment="1">
      <alignment horizontal="center"/>
    </xf>
    <xf numFmtId="179" fontId="7" fillId="0" borderId="22" xfId="0" applyNumberFormat="1" applyFont="1" applyBorder="1" applyAlignment="1">
      <alignment horizontal="center"/>
    </xf>
    <xf numFmtId="1" fontId="7" fillId="0" borderId="22" xfId="0" applyNumberFormat="1" applyFont="1" applyBorder="1" applyAlignment="1">
      <alignment horizontal="center"/>
    </xf>
    <xf numFmtId="179" fontId="7" fillId="0" borderId="25" xfId="0" applyNumberFormat="1" applyFont="1" applyBorder="1" applyAlignment="1">
      <alignment horizontal="center"/>
    </xf>
    <xf numFmtId="1" fontId="1" fillId="0" borderId="0" xfId="0" applyNumberFormat="1" applyFont="1" applyAlignment="1">
      <alignment/>
    </xf>
    <xf numFmtId="2" fontId="0" fillId="0" borderId="21" xfId="0" applyNumberFormat="1" applyBorder="1" applyAlignment="1">
      <alignment/>
    </xf>
    <xf numFmtId="4" fontId="0" fillId="0" borderId="0" xfId="0" applyNumberFormat="1" applyAlignment="1">
      <alignment/>
    </xf>
    <xf numFmtId="179" fontId="0" fillId="0" borderId="0" xfId="0" applyNumberFormat="1" applyBorder="1" applyAlignment="1">
      <alignment horizontal="center"/>
    </xf>
    <xf numFmtId="2" fontId="7" fillId="0" borderId="22" xfId="0" applyNumberFormat="1" applyFont="1" applyBorder="1" applyAlignment="1">
      <alignment horizontal="center"/>
    </xf>
    <xf numFmtId="2" fontId="7" fillId="0" borderId="21" xfId="0" applyNumberFormat="1" applyFont="1" applyBorder="1" applyAlignment="1">
      <alignment horizontal="center"/>
    </xf>
    <xf numFmtId="2" fontId="7" fillId="0" borderId="25" xfId="0" applyNumberFormat="1" applyFont="1" applyBorder="1" applyAlignment="1">
      <alignment horizontal="center"/>
    </xf>
    <xf numFmtId="2" fontId="0" fillId="0" borderId="17" xfId="0" applyNumberFormat="1" applyFont="1" applyBorder="1" applyAlignment="1">
      <alignment/>
    </xf>
    <xf numFmtId="17" fontId="0" fillId="0" borderId="44" xfId="0" applyNumberFormat="1" applyBorder="1" applyAlignment="1">
      <alignment horizontal="right"/>
    </xf>
    <xf numFmtId="0" fontId="1" fillId="0" borderId="36" xfId="0" applyFont="1" applyBorder="1" applyAlignment="1">
      <alignment/>
    </xf>
    <xf numFmtId="0" fontId="0" fillId="0" borderId="19" xfId="0" applyBorder="1" applyAlignment="1">
      <alignment horizontal="left"/>
    </xf>
    <xf numFmtId="49" fontId="0" fillId="0" borderId="39" xfId="0" applyNumberFormat="1" applyBorder="1" applyAlignment="1">
      <alignment/>
    </xf>
    <xf numFmtId="0" fontId="0" fillId="0" borderId="38" xfId="0" applyBorder="1" applyAlignment="1">
      <alignment horizontal="left"/>
    </xf>
    <xf numFmtId="0" fontId="1" fillId="0" borderId="34" xfId="0" applyFont="1" applyBorder="1" applyAlignment="1">
      <alignment/>
    </xf>
    <xf numFmtId="181" fontId="0" fillId="0" borderId="39" xfId="0" applyNumberFormat="1" applyBorder="1" applyAlignment="1">
      <alignment/>
    </xf>
    <xf numFmtId="9" fontId="0" fillId="0" borderId="0" xfId="0" applyNumberFormat="1" applyAlignment="1">
      <alignment/>
    </xf>
    <xf numFmtId="2" fontId="7" fillId="0" borderId="19" xfId="0" applyNumberFormat="1" applyFont="1" applyBorder="1" applyAlignment="1">
      <alignment horizontal="center"/>
    </xf>
    <xf numFmtId="2" fontId="7" fillId="0" borderId="0" xfId="0" applyNumberFormat="1" applyFont="1" applyBorder="1" applyAlignment="1">
      <alignment horizontal="center"/>
    </xf>
    <xf numFmtId="179" fontId="0" fillId="0" borderId="40" xfId="0" applyNumberFormat="1" applyBorder="1" applyAlignment="1">
      <alignment/>
    </xf>
    <xf numFmtId="179" fontId="1" fillId="0" borderId="40" xfId="0" applyNumberFormat="1" applyFont="1" applyBorder="1" applyAlignment="1">
      <alignment/>
    </xf>
    <xf numFmtId="16" fontId="0" fillId="0" borderId="40" xfId="0" applyNumberFormat="1" applyBorder="1" applyAlignment="1">
      <alignment/>
    </xf>
    <xf numFmtId="1" fontId="1" fillId="0" borderId="35" xfId="0" applyNumberFormat="1" applyFont="1" applyBorder="1" applyAlignment="1">
      <alignment/>
    </xf>
    <xf numFmtId="16" fontId="0" fillId="0" borderId="0" xfId="0" applyNumberFormat="1" applyBorder="1" applyAlignment="1">
      <alignment/>
    </xf>
    <xf numFmtId="179" fontId="0" fillId="0" borderId="36" xfId="0" applyNumberFormat="1" applyBorder="1" applyAlignment="1">
      <alignment/>
    </xf>
    <xf numFmtId="179" fontId="1" fillId="0" borderId="35" xfId="0" applyNumberFormat="1" applyFont="1" applyBorder="1" applyAlignment="1">
      <alignment/>
    </xf>
    <xf numFmtId="179" fontId="0" fillId="0" borderId="41" xfId="0" applyNumberFormat="1" applyBorder="1" applyAlignment="1">
      <alignment/>
    </xf>
    <xf numFmtId="2" fontId="7" fillId="0" borderId="28" xfId="0" applyNumberFormat="1" applyFont="1" applyBorder="1" applyAlignment="1">
      <alignment horizontal="center"/>
    </xf>
    <xf numFmtId="2" fontId="1" fillId="0" borderId="36" xfId="0" applyNumberFormat="1" applyFont="1" applyBorder="1" applyAlignment="1">
      <alignment/>
    </xf>
    <xf numFmtId="3" fontId="11" fillId="0" borderId="25" xfId="55" applyNumberFormat="1" applyFont="1" applyBorder="1" applyAlignment="1">
      <alignment horizontal="center"/>
    </xf>
    <xf numFmtId="3" fontId="6" fillId="0" borderId="22" xfId="55" applyNumberFormat="1" applyFont="1" applyBorder="1" applyAlignment="1">
      <alignment horizontal="center"/>
    </xf>
    <xf numFmtId="3" fontId="6" fillId="0" borderId="28" xfId="55" applyNumberFormat="1" applyFont="1" applyBorder="1" applyAlignment="1">
      <alignment horizontal="center"/>
    </xf>
    <xf numFmtId="0" fontId="8" fillId="0" borderId="50" xfId="0" applyFont="1" applyBorder="1" applyAlignment="1">
      <alignment/>
    </xf>
    <xf numFmtId="0" fontId="7" fillId="0" borderId="23" xfId="0" applyFont="1" applyBorder="1" applyAlignment="1">
      <alignment horizontal="center"/>
    </xf>
    <xf numFmtId="0" fontId="8" fillId="0" borderId="25" xfId="0" applyFont="1" applyBorder="1" applyAlignment="1">
      <alignment/>
    </xf>
    <xf numFmtId="181" fontId="0" fillId="0" borderId="52" xfId="0" applyNumberFormat="1" applyBorder="1" applyAlignment="1">
      <alignment/>
    </xf>
    <xf numFmtId="181" fontId="1" fillId="0" borderId="34" xfId="0" applyNumberFormat="1" applyFont="1" applyBorder="1" applyAlignment="1">
      <alignment/>
    </xf>
    <xf numFmtId="181" fontId="1" fillId="0" borderId="36" xfId="0" applyNumberFormat="1" applyFont="1" applyBorder="1" applyAlignment="1">
      <alignment/>
    </xf>
    <xf numFmtId="181" fontId="1" fillId="0" borderId="35" xfId="0" applyNumberFormat="1" applyFont="1" applyBorder="1" applyAlignment="1">
      <alignment/>
    </xf>
    <xf numFmtId="182" fontId="0" fillId="0" borderId="39" xfId="0" applyNumberFormat="1" applyBorder="1" applyAlignment="1">
      <alignment/>
    </xf>
    <xf numFmtId="182" fontId="0" fillId="0" borderId="37" xfId="0" applyNumberFormat="1" applyBorder="1" applyAlignment="1">
      <alignment/>
    </xf>
    <xf numFmtId="182" fontId="0" fillId="0" borderId="38" xfId="0" applyNumberFormat="1" applyBorder="1" applyAlignment="1">
      <alignment/>
    </xf>
    <xf numFmtId="181" fontId="0" fillId="0" borderId="51" xfId="0" applyNumberFormat="1" applyBorder="1" applyAlignment="1">
      <alignment/>
    </xf>
    <xf numFmtId="179" fontId="0" fillId="0" borderId="12" xfId="0" applyNumberFormat="1" applyFont="1" applyBorder="1" applyAlignment="1">
      <alignment/>
    </xf>
    <xf numFmtId="179" fontId="1" fillId="0" borderId="13" xfId="0" applyNumberFormat="1" applyFont="1" applyBorder="1" applyAlignment="1">
      <alignment/>
    </xf>
    <xf numFmtId="2" fontId="1" fillId="0" borderId="15" xfId="0" applyNumberFormat="1" applyFont="1" applyBorder="1" applyAlignment="1">
      <alignment/>
    </xf>
    <xf numFmtId="179" fontId="0" fillId="0" borderId="55" xfId="0" applyNumberFormat="1" applyFont="1" applyBorder="1" applyAlignment="1">
      <alignment/>
    </xf>
    <xf numFmtId="0" fontId="0" fillId="0" borderId="56" xfId="0" applyBorder="1" applyAlignment="1">
      <alignment/>
    </xf>
    <xf numFmtId="2" fontId="1" fillId="0" borderId="57" xfId="0" applyNumberFormat="1" applyFont="1" applyBorder="1" applyAlignment="1">
      <alignment/>
    </xf>
    <xf numFmtId="2" fontId="0" fillId="0" borderId="56" xfId="0" applyNumberFormat="1" applyFont="1" applyBorder="1" applyAlignment="1">
      <alignment/>
    </xf>
    <xf numFmtId="0" fontId="0" fillId="0" borderId="50" xfId="0" applyBorder="1" applyAlignment="1">
      <alignment/>
    </xf>
    <xf numFmtId="2" fontId="1" fillId="0" borderId="49" xfId="0" applyNumberFormat="1" applyFont="1" applyBorder="1" applyAlignment="1">
      <alignment/>
    </xf>
    <xf numFmtId="2" fontId="0" fillId="0" borderId="50" xfId="0" applyNumberFormat="1" applyFont="1" applyBorder="1" applyAlignment="1">
      <alignment/>
    </xf>
    <xf numFmtId="179" fontId="0" fillId="0" borderId="11" xfId="0" applyNumberFormat="1" applyFont="1" applyBorder="1" applyAlignment="1">
      <alignment/>
    </xf>
    <xf numFmtId="179" fontId="1" fillId="0" borderId="48" xfId="0" applyNumberFormat="1" applyFont="1" applyBorder="1" applyAlignment="1">
      <alignment/>
    </xf>
    <xf numFmtId="2" fontId="1" fillId="0" borderId="14" xfId="0" applyNumberFormat="1" applyFont="1" applyBorder="1" applyAlignment="1">
      <alignment/>
    </xf>
    <xf numFmtId="2" fontId="0" fillId="0" borderId="16" xfId="0" applyNumberFormat="1" applyFont="1" applyBorder="1" applyAlignment="1">
      <alignment/>
    </xf>
    <xf numFmtId="179" fontId="1" fillId="0" borderId="58" xfId="0" applyNumberFormat="1" applyFont="1" applyBorder="1" applyAlignment="1">
      <alignment/>
    </xf>
    <xf numFmtId="0" fontId="0" fillId="0" borderId="59" xfId="0" applyBorder="1" applyAlignment="1">
      <alignment/>
    </xf>
    <xf numFmtId="2" fontId="1" fillId="0" borderId="59" xfId="0" applyNumberFormat="1" applyFont="1" applyBorder="1" applyAlignment="1">
      <alignment/>
    </xf>
    <xf numFmtId="179" fontId="1" fillId="0" borderId="36" xfId="0" applyNumberFormat="1" applyFont="1" applyBorder="1" applyAlignment="1">
      <alignment/>
    </xf>
    <xf numFmtId="2" fontId="0" fillId="0" borderId="0" xfId="0" applyNumberFormat="1" applyFont="1" applyBorder="1" applyAlignment="1">
      <alignment/>
    </xf>
    <xf numFmtId="2" fontId="0" fillId="0" borderId="55" xfId="0" applyNumberFormat="1" applyBorder="1" applyAlignment="1">
      <alignment/>
    </xf>
    <xf numFmtId="2" fontId="0" fillId="0" borderId="13" xfId="0" applyNumberFormat="1" applyBorder="1" applyAlignment="1">
      <alignment/>
    </xf>
    <xf numFmtId="2" fontId="0" fillId="0" borderId="58" xfId="0" applyNumberFormat="1" applyBorder="1" applyAlignment="1">
      <alignment/>
    </xf>
    <xf numFmtId="2" fontId="0" fillId="0" borderId="11" xfId="0" applyNumberFormat="1" applyBorder="1" applyAlignment="1">
      <alignment/>
    </xf>
    <xf numFmtId="2" fontId="0" fillId="0" borderId="48" xfId="0" applyNumberFormat="1" applyBorder="1" applyAlignment="1">
      <alignment/>
    </xf>
    <xf numFmtId="179" fontId="1" fillId="0" borderId="49" xfId="0" applyNumberFormat="1"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8" xfId="0" applyFont="1" applyBorder="1" applyAlignment="1">
      <alignment/>
    </xf>
    <xf numFmtId="0" fontId="7" fillId="0" borderId="23" xfId="0" applyFont="1" applyBorder="1" applyAlignment="1">
      <alignment/>
    </xf>
    <xf numFmtId="0" fontId="0" fillId="0" borderId="0" xfId="0" applyFont="1" applyFill="1" applyBorder="1" applyAlignment="1">
      <alignment/>
    </xf>
    <xf numFmtId="2" fontId="7" fillId="0" borderId="26" xfId="0" applyNumberFormat="1" applyFont="1" applyBorder="1" applyAlignment="1">
      <alignment horizontal="center"/>
    </xf>
    <xf numFmtId="3" fontId="0" fillId="0" borderId="0" xfId="0" applyNumberFormat="1" applyAlignment="1">
      <alignment/>
    </xf>
    <xf numFmtId="2" fontId="0" fillId="0" borderId="0" xfId="0" applyNumberFormat="1" applyFont="1" applyAlignment="1">
      <alignment/>
    </xf>
    <xf numFmtId="182" fontId="0" fillId="0" borderId="0" xfId="0" applyNumberFormat="1" applyFont="1" applyAlignment="1">
      <alignment/>
    </xf>
    <xf numFmtId="0" fontId="0" fillId="0" borderId="46" xfId="0" applyFont="1" applyBorder="1" applyAlignment="1">
      <alignment/>
    </xf>
    <xf numFmtId="0" fontId="0" fillId="0" borderId="46" xfId="0" applyFont="1" applyBorder="1" applyAlignment="1">
      <alignment horizontal="left"/>
    </xf>
    <xf numFmtId="0" fontId="0" fillId="0" borderId="44" xfId="0" applyFont="1" applyBorder="1" applyAlignment="1">
      <alignment/>
    </xf>
    <xf numFmtId="0" fontId="0" fillId="0" borderId="0" xfId="0" applyFont="1" applyFill="1" applyBorder="1" applyAlignment="1">
      <alignment/>
    </xf>
    <xf numFmtId="0" fontId="8" fillId="0" borderId="0" xfId="0" applyFont="1" applyFill="1" applyBorder="1" applyAlignment="1">
      <alignment/>
    </xf>
    <xf numFmtId="3" fontId="0" fillId="0" borderId="0" xfId="0" applyNumberFormat="1" applyBorder="1" applyAlignment="1">
      <alignment/>
    </xf>
    <xf numFmtId="3" fontId="0" fillId="0" borderId="19" xfId="0" applyNumberFormat="1" applyBorder="1" applyAlignment="1">
      <alignment/>
    </xf>
    <xf numFmtId="3" fontId="0" fillId="0" borderId="0" xfId="0" applyNumberFormat="1" applyFont="1" applyAlignment="1">
      <alignment/>
    </xf>
    <xf numFmtId="181" fontId="0" fillId="0" borderId="0" xfId="0" applyNumberFormat="1" applyAlignment="1">
      <alignment/>
    </xf>
    <xf numFmtId="14" fontId="1" fillId="0" borderId="0" xfId="0" applyNumberFormat="1" applyFont="1" applyAlignment="1">
      <alignment horizontal="left"/>
    </xf>
    <xf numFmtId="181" fontId="1" fillId="0" borderId="0" xfId="0" applyNumberFormat="1" applyFont="1" applyAlignment="1">
      <alignment/>
    </xf>
    <xf numFmtId="0" fontId="1" fillId="0" borderId="26" xfId="0" applyFont="1" applyBorder="1" applyAlignment="1">
      <alignment/>
    </xf>
    <xf numFmtId="0" fontId="0" fillId="0" borderId="27" xfId="0" applyBorder="1" applyAlignment="1">
      <alignment/>
    </xf>
    <xf numFmtId="0" fontId="9" fillId="0" borderId="12" xfId="0" applyFont="1" applyBorder="1" applyAlignment="1">
      <alignment/>
    </xf>
    <xf numFmtId="0" fontId="10" fillId="0" borderId="12" xfId="0" applyFont="1" applyBorder="1" applyAlignment="1">
      <alignment/>
    </xf>
    <xf numFmtId="0" fontId="10" fillId="0" borderId="13" xfId="0" applyFont="1" applyBorder="1" applyAlignment="1">
      <alignment/>
    </xf>
    <xf numFmtId="0" fontId="9" fillId="0" borderId="0" xfId="0" applyFont="1" applyBorder="1" applyAlignment="1">
      <alignment/>
    </xf>
    <xf numFmtId="0" fontId="10" fillId="0" borderId="0" xfId="0" applyFont="1" applyBorder="1" applyAlignment="1">
      <alignment/>
    </xf>
    <xf numFmtId="0" fontId="10" fillId="0" borderId="15" xfId="0" applyFont="1" applyBorder="1" applyAlignment="1">
      <alignment/>
    </xf>
    <xf numFmtId="0" fontId="7" fillId="0" borderId="15" xfId="0" applyFont="1" applyBorder="1" applyAlignment="1">
      <alignment/>
    </xf>
    <xf numFmtId="0" fontId="1" fillId="0" borderId="17" xfId="0" applyFont="1" applyBorder="1" applyAlignment="1">
      <alignment/>
    </xf>
    <xf numFmtId="0" fontId="1" fillId="0" borderId="0" xfId="0" applyFont="1" applyFill="1" applyBorder="1" applyAlignment="1">
      <alignment/>
    </xf>
    <xf numFmtId="188" fontId="0" fillId="0" borderId="0" xfId="0" applyNumberFormat="1" applyFont="1" applyAlignment="1">
      <alignment/>
    </xf>
    <xf numFmtId="177" fontId="8" fillId="0" borderId="25" xfId="0" applyNumberFormat="1" applyFont="1" applyBorder="1" applyAlignment="1">
      <alignment/>
    </xf>
    <xf numFmtId="0" fontId="0" fillId="0" borderId="19" xfId="0" applyFont="1" applyBorder="1" applyAlignment="1">
      <alignment/>
    </xf>
    <xf numFmtId="3" fontId="0" fillId="0" borderId="19" xfId="0" applyNumberFormat="1" applyFont="1" applyBorder="1" applyAlignment="1">
      <alignment/>
    </xf>
    <xf numFmtId="181" fontId="0" fillId="0" borderId="0" xfId="0" applyNumberFormat="1" applyFont="1" applyAlignment="1">
      <alignment/>
    </xf>
    <xf numFmtId="180" fontId="0" fillId="0" borderId="0" xfId="0" applyNumberFormat="1" applyFont="1" applyAlignment="1">
      <alignment/>
    </xf>
    <xf numFmtId="182" fontId="0" fillId="0" borderId="0" xfId="0" applyNumberFormat="1" applyAlignment="1">
      <alignment/>
    </xf>
    <xf numFmtId="0" fontId="8" fillId="0" borderId="0" xfId="0" applyFont="1" applyBorder="1" applyAlignment="1">
      <alignment horizontal="center"/>
    </xf>
    <xf numFmtId="4" fontId="6" fillId="0" borderId="36" xfId="55" applyNumberFormat="1" applyFont="1" applyBorder="1" applyAlignment="1">
      <alignment horizontal="center"/>
    </xf>
    <xf numFmtId="3" fontId="6" fillId="0" borderId="0" xfId="55" applyNumberFormat="1"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4" fontId="6" fillId="0" borderId="35" xfId="55" applyNumberFormat="1" applyFont="1" applyBorder="1" applyAlignment="1">
      <alignment horizontal="center"/>
    </xf>
    <xf numFmtId="3" fontId="6" fillId="0" borderId="21" xfId="55" applyNumberFormat="1" applyFont="1" applyBorder="1" applyAlignment="1">
      <alignment horizontal="center"/>
    </xf>
    <xf numFmtId="3" fontId="6" fillId="0" borderId="23" xfId="55" applyNumberFormat="1" applyFont="1" applyBorder="1" applyAlignment="1">
      <alignment horizontal="center"/>
    </xf>
    <xf numFmtId="2" fontId="7" fillId="0" borderId="0" xfId="0" applyNumberFormat="1" applyFont="1" applyBorder="1" applyAlignment="1">
      <alignment horizontal="center"/>
    </xf>
    <xf numFmtId="4" fontId="6" fillId="0" borderId="0" xfId="55" applyNumberFormat="1" applyFont="1" applyBorder="1" applyAlignment="1">
      <alignment horizontal="center"/>
    </xf>
    <xf numFmtId="0" fontId="7" fillId="0" borderId="0" xfId="0" applyFont="1" applyBorder="1" applyAlignment="1">
      <alignment/>
    </xf>
    <xf numFmtId="0" fontId="8" fillId="33" borderId="46" xfId="0" applyFont="1" applyFill="1" applyBorder="1" applyAlignment="1">
      <alignment/>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Comma0" xfId="41"/>
    <cellStyle name="Currency" xfId="42"/>
    <cellStyle name="Currency0" xfId="43"/>
    <cellStyle name="Date" xfId="44"/>
    <cellStyle name="Fixed" xfId="45"/>
    <cellStyle name="Heading 1" xfId="46"/>
    <cellStyle name="Heading 2" xfId="47"/>
    <cellStyle name="Huomautus" xfId="48"/>
    <cellStyle name="Huono" xfId="49"/>
    <cellStyle name="Hyperlink" xfId="50"/>
    <cellStyle name="Hyvä" xfId="51"/>
    <cellStyle name="Laskenta" xfId="52"/>
    <cellStyle name="Linkitetty solu" xfId="53"/>
    <cellStyle name="Neutraali" xfId="54"/>
    <cellStyle name="normal" xfId="55"/>
    <cellStyle name="Otsikko" xfId="56"/>
    <cellStyle name="Otsikko 1" xfId="57"/>
    <cellStyle name="Otsikko 2" xfId="58"/>
    <cellStyle name="Otsikko 3" xfId="59"/>
    <cellStyle name="Otsikko 4" xfId="60"/>
    <cellStyle name="Percent" xfId="61"/>
    <cellStyle name="Selittävä teksti" xfId="62"/>
    <cellStyle name="Summa" xfId="63"/>
    <cellStyle name="Syöttö" xfId="64"/>
    <cellStyle name="Tarkistussolu" xfId="65"/>
    <cellStyle name="Total" xfId="66"/>
    <cellStyle name="Tulostus" xfId="67"/>
    <cellStyle name="Varoitusteksti"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M41"/>
  <sheetViews>
    <sheetView showOutlineSymbols="0" zoomScalePageLayoutView="0" workbookViewId="0" topLeftCell="A1">
      <selection activeCell="A1" sqref="A1"/>
    </sheetView>
  </sheetViews>
  <sheetFormatPr defaultColWidth="9.140625" defaultRowHeight="12.75"/>
  <cols>
    <col min="1" max="1" width="6.140625" style="0" customWidth="1"/>
    <col min="2" max="2" width="7.7109375" style="0" customWidth="1"/>
    <col min="3" max="3" width="12.7109375" style="0" customWidth="1"/>
    <col min="4" max="4" width="12.8515625" style="0" customWidth="1"/>
    <col min="5" max="5" width="8.140625" style="0" customWidth="1"/>
    <col min="6" max="6" width="13.8515625" style="0" customWidth="1"/>
    <col min="7" max="7" width="15.8515625" style="0" customWidth="1"/>
    <col min="8" max="8" width="2.140625" style="0" customWidth="1"/>
    <col min="9" max="9" width="7.8515625" style="0" customWidth="1"/>
    <col min="10" max="10" width="6.7109375" style="0" customWidth="1"/>
    <col min="11" max="11" width="7.00390625" style="0" customWidth="1"/>
    <col min="12" max="12" width="7.57421875" style="0" customWidth="1"/>
    <col min="13" max="13" width="7.00390625" style="0" customWidth="1"/>
  </cols>
  <sheetData>
    <row r="1" ht="12.75">
      <c r="A1" t="s">
        <v>0</v>
      </c>
    </row>
    <row r="2" ht="12.75">
      <c r="A2" t="s">
        <v>1</v>
      </c>
    </row>
    <row r="4" ht="12.75">
      <c r="A4" s="1" t="s">
        <v>2</v>
      </c>
    </row>
    <row r="5" spans="1:12" ht="12.75">
      <c r="A5" s="1" t="s">
        <v>3</v>
      </c>
      <c r="I5" s="2"/>
      <c r="J5" s="2"/>
      <c r="K5" s="2"/>
      <c r="L5" s="1"/>
    </row>
    <row r="6" ht="12.75">
      <c r="K6" s="4"/>
    </row>
    <row r="7" spans="1:11" ht="12.75">
      <c r="A7" t="s">
        <v>4</v>
      </c>
      <c r="K7" s="4"/>
    </row>
    <row r="8" spans="1:11" ht="12.75">
      <c r="A8" t="s">
        <v>140</v>
      </c>
      <c r="K8" s="1"/>
    </row>
    <row r="9" ht="13.5" thickBot="1"/>
    <row r="10" spans="1:7" ht="12.75">
      <c r="A10" s="30" t="s">
        <v>5</v>
      </c>
      <c r="B10" s="6" t="s">
        <v>6</v>
      </c>
      <c r="C10" s="30" t="s">
        <v>7</v>
      </c>
      <c r="D10" s="6" t="s">
        <v>8</v>
      </c>
      <c r="E10" s="28" t="s">
        <v>9</v>
      </c>
      <c r="F10" s="42" t="s">
        <v>10</v>
      </c>
      <c r="G10" s="7" t="s">
        <v>11</v>
      </c>
    </row>
    <row r="11" spans="1:7" ht="12.75">
      <c r="A11" s="31" t="s">
        <v>12</v>
      </c>
      <c r="B11" s="9" t="s">
        <v>13</v>
      </c>
      <c r="C11" s="31" t="s">
        <v>14</v>
      </c>
      <c r="D11" s="9" t="s">
        <v>15</v>
      </c>
      <c r="E11" s="9" t="s">
        <v>16</v>
      </c>
      <c r="F11" s="43" t="s">
        <v>17</v>
      </c>
      <c r="G11" s="10"/>
    </row>
    <row r="12" spans="1:13" ht="13.5" thickBot="1">
      <c r="A12" s="34" t="s">
        <v>18</v>
      </c>
      <c r="B12" s="15" t="s">
        <v>19</v>
      </c>
      <c r="C12" s="34" t="s">
        <v>20</v>
      </c>
      <c r="D12" s="15" t="s">
        <v>21</v>
      </c>
      <c r="E12" s="15" t="s">
        <v>22</v>
      </c>
      <c r="F12" s="35" t="s">
        <v>23</v>
      </c>
      <c r="G12" s="18"/>
      <c r="I12" t="s">
        <v>24</v>
      </c>
      <c r="K12" t="s">
        <v>13</v>
      </c>
      <c r="L12" t="s">
        <v>13</v>
      </c>
      <c r="M12" t="s">
        <v>13</v>
      </c>
    </row>
    <row r="13" spans="1:9" ht="12.75">
      <c r="A13" s="30"/>
      <c r="B13" s="6"/>
      <c r="C13" s="30"/>
      <c r="D13" s="6"/>
      <c r="E13" s="6"/>
      <c r="F13" s="30"/>
      <c r="G13" s="7"/>
      <c r="I13" t="s">
        <v>25</v>
      </c>
    </row>
    <row r="14" spans="1:13" ht="12.75">
      <c r="A14" s="31">
        <v>22</v>
      </c>
      <c r="B14" s="9">
        <v>418.8</v>
      </c>
      <c r="C14" s="101">
        <v>108.19</v>
      </c>
      <c r="D14" s="11">
        <f>ROUND((100/1.22)*((A14)+100)/100-100,2)</f>
        <v>0</v>
      </c>
      <c r="E14" s="12">
        <f aca="true" t="shared" si="0" ref="E14:E21">ROUND((((D14)*(C14)/100)*(B14)/1000)/($C$22)*100,2)</f>
        <v>0</v>
      </c>
      <c r="F14" s="44">
        <f>((G31/1.22)*((100+A14)/100)-(G31/1.22))-(G31-G31/1.22)</f>
        <v>0</v>
      </c>
      <c r="G14" s="10" t="s">
        <v>26</v>
      </c>
      <c r="I14" t="s">
        <v>27</v>
      </c>
      <c r="M14" t="s">
        <v>13</v>
      </c>
    </row>
    <row r="15" spans="1:10" ht="12.75">
      <c r="A15" s="31">
        <v>22</v>
      </c>
      <c r="B15" s="13">
        <v>35.5</v>
      </c>
      <c r="C15" s="31">
        <v>113.37</v>
      </c>
      <c r="D15" s="11">
        <f>ROUND((100/1.22)*((A15)+100)/100-100,2)</f>
        <v>0</v>
      </c>
      <c r="E15" s="12">
        <f t="shared" si="0"/>
        <v>0</v>
      </c>
      <c r="F15" s="44">
        <f>((G32/1.22)*((100+A15)/100)-(G32/1.22))-(G32-G32/1.22)</f>
        <v>0</v>
      </c>
      <c r="G15" s="10" t="s">
        <v>28</v>
      </c>
      <c r="I15" t="s">
        <v>13</v>
      </c>
      <c r="J15" t="s">
        <v>13</v>
      </c>
    </row>
    <row r="16" spans="1:12" ht="12.75">
      <c r="A16" s="31">
        <v>22</v>
      </c>
      <c r="B16" s="9">
        <v>24.49</v>
      </c>
      <c r="C16" s="43">
        <v>108.19</v>
      </c>
      <c r="D16" s="11">
        <f>ROUND((100/1.22)*((A16)+100)/100-100,2)</f>
        <v>0</v>
      </c>
      <c r="E16" s="12">
        <f t="shared" si="0"/>
        <v>0</v>
      </c>
      <c r="F16" s="44">
        <f>((G33/1.22)*((100+A16)/100)-(G33/1.22))-(G33-G33/1.22)</f>
        <v>0</v>
      </c>
      <c r="G16" s="10" t="s">
        <v>29</v>
      </c>
      <c r="I16" s="1" t="s">
        <v>30</v>
      </c>
      <c r="J16" s="3">
        <v>22</v>
      </c>
      <c r="K16" s="3">
        <v>17</v>
      </c>
      <c r="L16" s="3">
        <v>27</v>
      </c>
    </row>
    <row r="17" spans="1:7" ht="12.75">
      <c r="A17" s="41">
        <v>22</v>
      </c>
      <c r="B17" s="19">
        <v>6.37</v>
      </c>
      <c r="C17" s="47">
        <v>110.63</v>
      </c>
      <c r="D17" s="20">
        <f>ROUND((100/1.22)*((A17)+100)/100-100,2)</f>
        <v>0</v>
      </c>
      <c r="E17" s="21">
        <f t="shared" si="0"/>
        <v>0</v>
      </c>
      <c r="F17" s="45">
        <f>((G34/1.22)*((100+A17)/100)-(G34/1.22))-(G34-G34/1.22)</f>
        <v>0</v>
      </c>
      <c r="G17" s="22" t="s">
        <v>31</v>
      </c>
    </row>
    <row r="18" spans="1:12" ht="12.75">
      <c r="A18" s="48">
        <v>17</v>
      </c>
      <c r="B18" s="49">
        <v>157.58</v>
      </c>
      <c r="C18" s="48">
        <v>102.65</v>
      </c>
      <c r="D18" s="50">
        <f>ROUND((100/1.17)*((A18)+100)/100-100,2)</f>
        <v>0</v>
      </c>
      <c r="E18" s="51">
        <f t="shared" si="0"/>
        <v>0</v>
      </c>
      <c r="F18" s="52">
        <f>((G35/1.17)*((100+A18)/100)-(G35/1.17))-(G35-G35/1.17)</f>
        <v>0</v>
      </c>
      <c r="G18" s="53" t="s">
        <v>32</v>
      </c>
      <c r="I18" t="s">
        <v>33</v>
      </c>
      <c r="J18" s="23">
        <v>18.03</v>
      </c>
      <c r="K18" s="23">
        <f>K20-K19</f>
        <v>13.934899999999999</v>
      </c>
      <c r="L18" s="23">
        <f>L20-L19</f>
        <v>22.1319</v>
      </c>
    </row>
    <row r="19" spans="1:12" ht="12.75">
      <c r="A19" s="31">
        <v>8</v>
      </c>
      <c r="B19" s="9">
        <v>69.16</v>
      </c>
      <c r="C19" s="32">
        <v>114.8</v>
      </c>
      <c r="D19" s="11">
        <f>ROUND((100/1.08)*((A19)+100)/100-100,2)</f>
        <v>0</v>
      </c>
      <c r="E19" s="12">
        <f t="shared" si="0"/>
        <v>0</v>
      </c>
      <c r="F19" s="44">
        <f>((G36/1.08)*((100+A19)/100)-(G36/1.08))-(G36-G36/1.08)</f>
        <v>0</v>
      </c>
      <c r="G19" s="10" t="s">
        <v>34</v>
      </c>
      <c r="I19" t="s">
        <v>35</v>
      </c>
      <c r="J19" s="25">
        <v>81.97</v>
      </c>
      <c r="K19" s="25">
        <f>J19</f>
        <v>81.97</v>
      </c>
      <c r="L19" s="25">
        <f>J19</f>
        <v>81.97</v>
      </c>
    </row>
    <row r="20" spans="1:12" ht="12.75">
      <c r="A20" s="31">
        <v>0</v>
      </c>
      <c r="B20" s="9">
        <v>274.97</v>
      </c>
      <c r="C20" s="32">
        <v>111.98</v>
      </c>
      <c r="D20" s="11">
        <f>ROUND((100/1)*((A20)+100)/100-100,2)</f>
        <v>0</v>
      </c>
      <c r="E20" s="12">
        <f t="shared" si="0"/>
        <v>0</v>
      </c>
      <c r="F20" s="44">
        <f>((G37/1)*((100+A20)/100)-(G37/1))-(G37-G37/1)</f>
        <v>0</v>
      </c>
      <c r="G20" s="10" t="s">
        <v>36</v>
      </c>
      <c r="I20" t="s">
        <v>37</v>
      </c>
      <c r="J20" s="25">
        <f>J18+J19</f>
        <v>100</v>
      </c>
      <c r="K20">
        <f>$J$19*((K16+100)/100)</f>
        <v>95.9049</v>
      </c>
      <c r="L20" s="24">
        <f>$J$19*((L16+100)/100)</f>
        <v>104.1019</v>
      </c>
    </row>
    <row r="21" spans="1:12" ht="12.75">
      <c r="A21" s="41">
        <v>0</v>
      </c>
      <c r="B21" s="19">
        <v>13.13</v>
      </c>
      <c r="C21" s="47">
        <v>117.72</v>
      </c>
      <c r="D21" s="20">
        <f>ROUND((100/1)*((A21)+100)/100-100,2)</f>
        <v>0</v>
      </c>
      <c r="E21" s="21">
        <f t="shared" si="0"/>
        <v>0</v>
      </c>
      <c r="F21" s="45">
        <f>((G38/1)*((100+A21)/100)-(G38/1))-(G38-G38/1)</f>
        <v>0</v>
      </c>
      <c r="G21" s="22" t="s">
        <v>38</v>
      </c>
      <c r="I21" s="23" t="s">
        <v>39</v>
      </c>
      <c r="K21" s="1">
        <f>K20/J20*100-100</f>
        <v>-4.095100000000002</v>
      </c>
      <c r="L21" s="1">
        <f>L20/J20*100-100</f>
        <v>4.101899999999986</v>
      </c>
    </row>
    <row r="22" spans="1:12" ht="13.5" thickBot="1">
      <c r="A22" s="34" t="s">
        <v>40</v>
      </c>
      <c r="B22" s="16">
        <f>SUM(B14:B21)</f>
        <v>1000</v>
      </c>
      <c r="C22" s="34">
        <v>109.14</v>
      </c>
      <c r="D22" s="16" t="s">
        <v>13</v>
      </c>
      <c r="E22" s="17">
        <f>SUM(E14:E21)</f>
        <v>0</v>
      </c>
      <c r="F22" s="46">
        <f>SUM(F14:F21)</f>
        <v>0</v>
      </c>
      <c r="G22" s="18"/>
      <c r="J22" s="23" t="s">
        <v>13</v>
      </c>
      <c r="K22" s="23" t="s">
        <v>13</v>
      </c>
      <c r="L22" s="23" t="s">
        <v>13</v>
      </c>
    </row>
    <row r="23" spans="4:12" ht="12.75">
      <c r="D23" t="s">
        <v>13</v>
      </c>
      <c r="I23" t="s">
        <v>41</v>
      </c>
      <c r="L23" s="23" t="s">
        <v>13</v>
      </c>
    </row>
    <row r="24" spans="1:12" ht="12.75">
      <c r="A24" s="4" t="s">
        <v>42</v>
      </c>
      <c r="G24" s="3">
        <f>(((A14)*(B14)+(A15)*(B15)+(A16)*(B16)+(A17)*(B17)+(A18)*(B18)+(A19)*(B19)+(A20)*(B20))/1000)</f>
        <v>13.905660000000001</v>
      </c>
      <c r="H24" s="1" t="s">
        <v>13</v>
      </c>
      <c r="I24" s="1" t="s">
        <v>43</v>
      </c>
      <c r="J24" s="3">
        <v>22</v>
      </c>
      <c r="K24" s="3">
        <v>17</v>
      </c>
      <c r="L24" s="3">
        <v>27</v>
      </c>
    </row>
    <row r="25" spans="1:12" ht="12.75">
      <c r="A25" s="4" t="s">
        <v>44</v>
      </c>
      <c r="G25" s="3">
        <f>(((A14)*(B14)+(A15)*(B15)+(A16)*(B16)+(A17)*(B17)+(A18)*(B18)+(A19)*(B19))/744.79)</f>
        <v>18.670578283811547</v>
      </c>
      <c r="H25" s="1" t="s">
        <v>13</v>
      </c>
      <c r="I25" t="s">
        <v>37</v>
      </c>
      <c r="J25" s="25">
        <v>100</v>
      </c>
      <c r="K25" s="25">
        <f>K19+K26</f>
        <v>95.9049</v>
      </c>
      <c r="L25" s="23">
        <f>L19+L26</f>
        <v>104.1019</v>
      </c>
    </row>
    <row r="26" spans="9:12" ht="13.5" thickBot="1">
      <c r="I26" t="s">
        <v>45</v>
      </c>
      <c r="J26" s="23">
        <f>J18</f>
        <v>18.03</v>
      </c>
      <c r="K26" s="23">
        <f>K18</f>
        <v>13.934899999999999</v>
      </c>
      <c r="L26" s="23">
        <f>L18</f>
        <v>22.1319</v>
      </c>
    </row>
    <row r="27" spans="3:7" ht="12.75">
      <c r="C27" s="5" t="s">
        <v>46</v>
      </c>
      <c r="D27" s="30" t="s">
        <v>47</v>
      </c>
      <c r="E27" s="6" t="s">
        <v>48</v>
      </c>
      <c r="F27" s="30" t="s">
        <v>49</v>
      </c>
      <c r="G27" s="7" t="s">
        <v>50</v>
      </c>
    </row>
    <row r="28" spans="3:12" ht="12.75">
      <c r="C28" s="8"/>
      <c r="D28" s="31" t="s">
        <v>51</v>
      </c>
      <c r="E28" s="9" t="s">
        <v>52</v>
      </c>
      <c r="F28" s="31" t="s">
        <v>53</v>
      </c>
      <c r="G28" s="29" t="s">
        <v>54</v>
      </c>
      <c r="I28" t="s">
        <v>55</v>
      </c>
      <c r="J28" s="23">
        <f>J26-J26</f>
        <v>0</v>
      </c>
      <c r="K28" s="24">
        <f>K26-J26</f>
        <v>-4.095100000000002</v>
      </c>
      <c r="L28" s="27">
        <f>L26-J26</f>
        <v>4.1019000000000005</v>
      </c>
    </row>
    <row r="29" spans="3:9" ht="13.5" thickBot="1">
      <c r="C29" s="14"/>
      <c r="D29" s="34" t="s">
        <v>56</v>
      </c>
      <c r="E29" s="15" t="s">
        <v>57</v>
      </c>
      <c r="F29" s="35" t="s">
        <v>58</v>
      </c>
      <c r="G29" s="18" t="s">
        <v>59</v>
      </c>
      <c r="I29" s="26">
        <v>0.22</v>
      </c>
    </row>
    <row r="30" spans="3:12" ht="13.5" thickBot="1">
      <c r="C30" s="36" t="s">
        <v>60</v>
      </c>
      <c r="D30" s="37">
        <f>256607947427.92/1000000000</f>
        <v>256.60794742792</v>
      </c>
      <c r="E30" s="38">
        <f>C22</f>
        <v>109.14</v>
      </c>
      <c r="F30" s="39">
        <f>(G30/D30)/E30*10000</f>
        <v>106.68964727505958</v>
      </c>
      <c r="G30" s="40">
        <f>SUM(G31:G38)</f>
        <v>298.79706800936066</v>
      </c>
      <c r="J30" s="23">
        <f>22/122*100</f>
        <v>18.0327868852459</v>
      </c>
      <c r="K30">
        <f>17/117*100</f>
        <v>14.529914529914532</v>
      </c>
      <c r="L30">
        <f>27/127*100</f>
        <v>21.25984251968504</v>
      </c>
    </row>
    <row r="31" spans="3:7" ht="12.75">
      <c r="C31" s="30" t="s">
        <v>61</v>
      </c>
      <c r="D31" s="59">
        <f>(B14)/1000*$D$30</f>
        <v>107.4674083828129</v>
      </c>
      <c r="E31" s="30">
        <f>C14</f>
        <v>108.19</v>
      </c>
      <c r="F31" s="60">
        <v>110</v>
      </c>
      <c r="G31" s="56">
        <f>D31*(E31/100)*(F31/100)</f>
        <v>127.89588804230183</v>
      </c>
    </row>
    <row r="32" spans="3:7" ht="12.75">
      <c r="C32" s="31" t="s">
        <v>62</v>
      </c>
      <c r="D32" s="54">
        <f aca="true" t="shared" si="1" ref="D32:D38">(B15)/1000*$D$30</f>
        <v>9.109582133691159</v>
      </c>
      <c r="E32" s="31">
        <f aca="true" t="shared" si="2" ref="E32:E37">C15</f>
        <v>113.37</v>
      </c>
      <c r="F32" s="13">
        <v>110</v>
      </c>
      <c r="G32" s="57">
        <f aca="true" t="shared" si="3" ref="G32:G38">D32*(E32/100)*(F32/100)</f>
        <v>11.360286591462236</v>
      </c>
    </row>
    <row r="33" spans="3:7" ht="12.75">
      <c r="C33" s="31" t="s">
        <v>29</v>
      </c>
      <c r="D33" s="54">
        <f t="shared" si="1"/>
        <v>6.2843286325097605</v>
      </c>
      <c r="E33" s="31">
        <f t="shared" si="2"/>
        <v>108.19</v>
      </c>
      <c r="F33" s="13">
        <v>110</v>
      </c>
      <c r="G33" s="57">
        <f t="shared" si="3"/>
        <v>7.478916662263543</v>
      </c>
    </row>
    <row r="34" spans="3:7" ht="12.75">
      <c r="C34" s="41" t="s">
        <v>63</v>
      </c>
      <c r="D34" s="61">
        <f t="shared" si="1"/>
        <v>1.6345926251158505</v>
      </c>
      <c r="E34" s="47">
        <f t="shared" si="2"/>
        <v>110.63</v>
      </c>
      <c r="F34" s="62">
        <v>102</v>
      </c>
      <c r="G34" s="63">
        <f t="shared" si="3"/>
        <v>1.8445168175889788</v>
      </c>
    </row>
    <row r="35" spans="3:7" ht="12.75">
      <c r="C35" s="64" t="s">
        <v>64</v>
      </c>
      <c r="D35" s="65">
        <f t="shared" si="1"/>
        <v>40.43628035569164</v>
      </c>
      <c r="E35" s="64">
        <f t="shared" si="2"/>
        <v>102.65</v>
      </c>
      <c r="F35" s="66">
        <v>104</v>
      </c>
      <c r="G35" s="67">
        <f t="shared" si="3"/>
        <v>43.16815545652217</v>
      </c>
    </row>
    <row r="36" spans="3:7" ht="12.75">
      <c r="C36" s="64" t="s">
        <v>65</v>
      </c>
      <c r="D36" s="65">
        <f t="shared" si="1"/>
        <v>17.747005644114946</v>
      </c>
      <c r="E36" s="64">
        <f t="shared" si="2"/>
        <v>114.8</v>
      </c>
      <c r="F36" s="66">
        <v>110</v>
      </c>
      <c r="G36" s="67">
        <f t="shared" si="3"/>
        <v>22.410918727388356</v>
      </c>
    </row>
    <row r="37" spans="3:9" ht="12.75">
      <c r="C37" s="31" t="s">
        <v>66</v>
      </c>
      <c r="D37" s="54">
        <f t="shared" si="1"/>
        <v>70.55948730425517</v>
      </c>
      <c r="E37" s="32">
        <f t="shared" si="2"/>
        <v>111.98</v>
      </c>
      <c r="F37" s="13">
        <v>102</v>
      </c>
      <c r="G37" s="57">
        <f t="shared" si="3"/>
        <v>80.59276416097104</v>
      </c>
      <c r="I37" s="1"/>
    </row>
    <row r="38" spans="3:7" ht="13.5" thickBot="1">
      <c r="C38" s="34" t="s">
        <v>67</v>
      </c>
      <c r="D38" s="55">
        <f t="shared" si="1"/>
        <v>3.36926234972859</v>
      </c>
      <c r="E38" s="33">
        <f>C21</f>
        <v>117.72</v>
      </c>
      <c r="F38" s="16">
        <v>102</v>
      </c>
      <c r="G38" s="58">
        <f t="shared" si="3"/>
        <v>4.045621550862506</v>
      </c>
    </row>
    <row r="39" spans="3:7" ht="12.75">
      <c r="C39" s="9"/>
      <c r="D39" s="54"/>
      <c r="E39" s="13"/>
      <c r="F39" s="13"/>
      <c r="G39" s="68"/>
    </row>
    <row r="40" ht="12.75">
      <c r="A40" s="1" t="s">
        <v>68</v>
      </c>
    </row>
    <row r="41" ht="12.75">
      <c r="I41" t="s">
        <v>13</v>
      </c>
    </row>
  </sheetData>
  <sheetProtection/>
  <printOptions/>
  <pageMargins left="0.3937007874015748" right="0.3937007874015748" top="1.0236220472440944" bottom="0.8267716535433072" header="0.31496062992125984" footer="0.31496062992125984"/>
  <pageSetup horizontalDpi="300" verticalDpi="300" orientation="portrait" scale="125" r:id="rId1"/>
</worksheet>
</file>

<file path=xl/worksheets/sheet2.xml><?xml version="1.0" encoding="utf-8"?>
<worksheet xmlns="http://schemas.openxmlformats.org/spreadsheetml/2006/main" xmlns:r="http://schemas.openxmlformats.org/officeDocument/2006/relationships">
  <dimension ref="A1:K245"/>
  <sheetViews>
    <sheetView zoomScalePageLayoutView="0" workbookViewId="0" topLeftCell="A1">
      <selection activeCell="A1" sqref="A1"/>
    </sheetView>
  </sheetViews>
  <sheetFormatPr defaultColWidth="9.140625" defaultRowHeight="12.75"/>
  <cols>
    <col min="1" max="1" width="15.28125" style="0" customWidth="1"/>
    <col min="2" max="2" width="16.57421875" style="0" customWidth="1"/>
    <col min="3" max="3" width="16.8515625" style="0" customWidth="1"/>
    <col min="4" max="4" width="9.8515625" style="0" customWidth="1"/>
    <col min="5" max="5" width="16.28125" style="0" customWidth="1"/>
    <col min="7" max="7" width="17.57421875" style="0" customWidth="1"/>
    <col min="9" max="9" width="9.57421875" style="0" customWidth="1"/>
  </cols>
  <sheetData>
    <row r="1" ht="12.75">
      <c r="A1" s="1" t="s">
        <v>69</v>
      </c>
    </row>
    <row r="3" spans="1:7" ht="12.75">
      <c r="A3" s="70" t="s">
        <v>70</v>
      </c>
      <c r="B3" s="71">
        <v>0</v>
      </c>
      <c r="C3" s="74">
        <v>0</v>
      </c>
      <c r="D3" s="70"/>
      <c r="E3" s="88">
        <v>0.08</v>
      </c>
      <c r="F3" s="70"/>
      <c r="G3" s="88">
        <v>0.17</v>
      </c>
    </row>
    <row r="4" spans="1:11" ht="12.75">
      <c r="A4" s="72" t="s">
        <v>71</v>
      </c>
      <c r="B4" s="62" t="s">
        <v>72</v>
      </c>
      <c r="C4" s="75" t="s">
        <v>73</v>
      </c>
      <c r="D4" s="90"/>
      <c r="E4" s="91"/>
      <c r="F4" s="90"/>
      <c r="G4" s="91" t="s">
        <v>32</v>
      </c>
      <c r="H4" s="23"/>
      <c r="I4" s="23"/>
      <c r="J4" s="23"/>
      <c r="K4" s="23"/>
    </row>
    <row r="5" spans="1:11" ht="12.75">
      <c r="A5" s="79" t="s">
        <v>74</v>
      </c>
      <c r="B5" s="86">
        <v>1645547638673</v>
      </c>
      <c r="C5" s="82"/>
      <c r="D5" s="73" t="s">
        <v>75</v>
      </c>
      <c r="E5" s="82">
        <v>372548959033</v>
      </c>
      <c r="F5" s="73">
        <v>1</v>
      </c>
      <c r="G5" s="82">
        <v>4043731084827</v>
      </c>
      <c r="H5" s="23"/>
      <c r="I5" s="23"/>
      <c r="J5" s="23"/>
      <c r="K5" s="23"/>
    </row>
    <row r="6" spans="1:11" ht="12.75">
      <c r="A6" s="73" t="s">
        <v>76</v>
      </c>
      <c r="B6" s="82">
        <v>1706316400597</v>
      </c>
      <c r="C6" s="82"/>
      <c r="D6" s="73" t="s">
        <v>77</v>
      </c>
      <c r="E6" s="82">
        <v>91147427382</v>
      </c>
      <c r="F6" s="73" t="s">
        <v>13</v>
      </c>
      <c r="G6" s="82" t="s">
        <v>13</v>
      </c>
      <c r="H6" s="23"/>
      <c r="I6" s="23"/>
      <c r="J6" s="23"/>
      <c r="K6" s="23"/>
    </row>
    <row r="7" spans="1:11" ht="12.75">
      <c r="A7" s="73" t="s">
        <v>78</v>
      </c>
      <c r="B7" s="82">
        <v>686976831183</v>
      </c>
      <c r="C7" s="82"/>
      <c r="D7" s="73" t="s">
        <v>79</v>
      </c>
      <c r="E7" s="82">
        <v>386598599627</v>
      </c>
      <c r="F7" s="73"/>
      <c r="G7" s="82" t="s">
        <v>13</v>
      </c>
      <c r="H7" s="23"/>
      <c r="I7" s="23"/>
      <c r="J7" s="23"/>
      <c r="K7" s="23"/>
    </row>
    <row r="8" spans="1:11" ht="12.75">
      <c r="A8" s="73" t="s">
        <v>80</v>
      </c>
      <c r="B8" s="82">
        <v>449852770880</v>
      </c>
      <c r="C8" s="82"/>
      <c r="D8" s="73" t="s">
        <v>81</v>
      </c>
      <c r="E8" s="82">
        <v>40465416064</v>
      </c>
      <c r="F8" s="90"/>
      <c r="G8" s="92">
        <f>G5/A4*1000</f>
        <v>157.58401582487485</v>
      </c>
      <c r="H8" s="23"/>
      <c r="I8" s="23"/>
      <c r="J8" s="23"/>
      <c r="K8" s="23"/>
    </row>
    <row r="9" spans="1:11" ht="12.75">
      <c r="A9" s="73" t="s">
        <v>82</v>
      </c>
      <c r="B9" s="82">
        <v>79723277964</v>
      </c>
      <c r="C9" s="82"/>
      <c r="D9" s="73" t="s">
        <v>83</v>
      </c>
      <c r="E9" s="82">
        <v>186393113343</v>
      </c>
      <c r="F9" s="23"/>
      <c r="G9" s="23"/>
      <c r="H9" s="23"/>
      <c r="I9" s="23"/>
      <c r="J9" s="23"/>
      <c r="K9" s="23"/>
    </row>
    <row r="10" spans="1:11" ht="12.75">
      <c r="A10" s="73" t="s">
        <v>84</v>
      </c>
      <c r="B10" s="82">
        <v>2080512952</v>
      </c>
      <c r="C10" s="82"/>
      <c r="D10" s="73" t="s">
        <v>85</v>
      </c>
      <c r="E10" s="82">
        <v>313536239352</v>
      </c>
      <c r="F10" s="23"/>
      <c r="G10" s="23"/>
      <c r="H10" s="23"/>
      <c r="I10" s="23"/>
      <c r="J10" s="23"/>
      <c r="K10" s="23"/>
    </row>
    <row r="11" spans="1:11" ht="12.75">
      <c r="A11" s="73" t="s">
        <v>86</v>
      </c>
      <c r="B11" s="82">
        <v>4455476477</v>
      </c>
      <c r="C11" s="82"/>
      <c r="D11" s="73" t="s">
        <v>87</v>
      </c>
      <c r="E11" s="87">
        <v>188532981611</v>
      </c>
      <c r="F11" s="23"/>
      <c r="G11" s="23"/>
      <c r="H11" s="23"/>
      <c r="I11" s="23"/>
      <c r="J11" s="23"/>
      <c r="K11" s="23"/>
    </row>
    <row r="12" spans="1:11" ht="12.75">
      <c r="A12" s="73" t="s">
        <v>88</v>
      </c>
      <c r="B12" s="82">
        <v>100316993717</v>
      </c>
      <c r="C12" s="82"/>
      <c r="D12" s="73" t="s">
        <v>89</v>
      </c>
      <c r="E12" s="82">
        <v>116483371225</v>
      </c>
      <c r="F12" s="23"/>
      <c r="G12" s="23"/>
      <c r="H12" s="23"/>
      <c r="I12" s="23"/>
      <c r="J12" s="23"/>
      <c r="K12" s="23"/>
    </row>
    <row r="13" spans="1:11" ht="12.75">
      <c r="A13" s="73" t="s">
        <v>90</v>
      </c>
      <c r="B13" s="82">
        <v>57629909695</v>
      </c>
      <c r="C13" s="82"/>
      <c r="D13" s="73" t="s">
        <v>91</v>
      </c>
      <c r="E13" s="87">
        <v>78964836771</v>
      </c>
      <c r="F13" s="23"/>
      <c r="G13" s="23"/>
      <c r="H13" s="23"/>
      <c r="I13" s="23"/>
      <c r="J13" s="23"/>
      <c r="K13" s="23"/>
    </row>
    <row r="14" spans="1:11" ht="12.75">
      <c r="A14" s="73" t="s">
        <v>92</v>
      </c>
      <c r="B14" s="82">
        <v>100852341967</v>
      </c>
      <c r="C14" s="82"/>
      <c r="D14" s="73"/>
      <c r="E14" s="82">
        <f>SUM(E5:E13)</f>
        <v>1774670944408</v>
      </c>
      <c r="F14" s="23"/>
      <c r="G14" s="23"/>
      <c r="H14" s="23"/>
      <c r="I14" s="23"/>
      <c r="J14" s="23"/>
      <c r="K14" s="23"/>
    </row>
    <row r="15" spans="1:11" ht="12.75">
      <c r="A15" s="73" t="s">
        <v>93</v>
      </c>
      <c r="B15" s="82">
        <v>1265030452</v>
      </c>
      <c r="C15" s="82"/>
      <c r="D15" s="73"/>
      <c r="E15" s="93">
        <f>E14/A4*1000</f>
        <v>69.15884570981564</v>
      </c>
      <c r="F15" s="23"/>
      <c r="G15" s="23"/>
      <c r="H15" s="23"/>
      <c r="I15" s="23"/>
      <c r="J15" s="23"/>
      <c r="K15" s="23"/>
    </row>
    <row r="16" spans="1:11" ht="12.75">
      <c r="A16" s="73" t="s">
        <v>94</v>
      </c>
      <c r="B16" s="82">
        <v>1897545679</v>
      </c>
      <c r="C16" s="82"/>
      <c r="D16" s="79"/>
      <c r="E16" s="80"/>
      <c r="F16" s="96"/>
      <c r="G16" s="86"/>
      <c r="H16" s="23"/>
      <c r="I16" s="23"/>
      <c r="J16" s="23"/>
      <c r="K16" s="23"/>
    </row>
    <row r="17" spans="1:11" ht="12.75">
      <c r="A17" s="73" t="s">
        <v>95</v>
      </c>
      <c r="B17" s="82">
        <v>587335567</v>
      </c>
      <c r="C17" s="82"/>
      <c r="D17" s="73"/>
      <c r="E17" s="13"/>
      <c r="F17" s="89"/>
      <c r="G17" s="82"/>
      <c r="H17" s="23"/>
      <c r="I17" s="23"/>
      <c r="J17" s="23"/>
      <c r="K17" s="23"/>
    </row>
    <row r="18" spans="1:11" ht="12.75">
      <c r="A18" s="73" t="s">
        <v>96</v>
      </c>
      <c r="B18" s="82">
        <v>1310210111</v>
      </c>
      <c r="C18" s="82"/>
      <c r="D18" s="73"/>
      <c r="E18" s="94" t="s">
        <v>97</v>
      </c>
      <c r="F18" s="89"/>
      <c r="G18" s="95" t="s">
        <v>97</v>
      </c>
      <c r="H18" s="23"/>
      <c r="I18" s="23"/>
      <c r="J18" s="23"/>
      <c r="K18" s="23"/>
    </row>
    <row r="19" spans="1:11" ht="12.75">
      <c r="A19" s="73" t="s">
        <v>98</v>
      </c>
      <c r="B19" s="82">
        <v>525662235895</v>
      </c>
      <c r="C19" s="82"/>
      <c r="D19" s="73"/>
      <c r="E19" s="13" t="s">
        <v>99</v>
      </c>
      <c r="F19" s="89"/>
      <c r="G19" s="82" t="s">
        <v>72</v>
      </c>
      <c r="H19" s="23"/>
      <c r="I19" s="23"/>
      <c r="J19" s="23"/>
      <c r="K19" s="23"/>
    </row>
    <row r="20" spans="1:11" ht="12.75">
      <c r="A20" s="73" t="s">
        <v>100</v>
      </c>
      <c r="B20" s="82">
        <v>406735259753</v>
      </c>
      <c r="C20" s="82"/>
      <c r="D20" s="73" t="s">
        <v>101</v>
      </c>
      <c r="E20" s="13">
        <v>163576577054</v>
      </c>
      <c r="F20" s="89"/>
      <c r="G20" s="82">
        <f>A4-B28-C32-G5-E14-E20-E32</f>
        <v>11375189831694</v>
      </c>
      <c r="H20" s="23"/>
      <c r="I20" s="23"/>
      <c r="J20" s="23"/>
      <c r="K20" s="23"/>
    </row>
    <row r="21" spans="1:11" ht="12.75">
      <c r="A21" s="73" t="s">
        <v>102</v>
      </c>
      <c r="B21" s="82">
        <v>38226556060</v>
      </c>
      <c r="C21" s="82"/>
      <c r="D21" s="72"/>
      <c r="E21" s="97">
        <f>E20/A4*1000</f>
        <v>6.374571742363822</v>
      </c>
      <c r="F21" s="90"/>
      <c r="G21" s="92">
        <f>G20/A4*1000</f>
        <v>443.29062859166663</v>
      </c>
      <c r="H21" s="23"/>
      <c r="I21" s="23"/>
      <c r="J21" s="23"/>
      <c r="K21" s="23"/>
    </row>
    <row r="22" spans="1:11" ht="12.75">
      <c r="A22" s="73" t="s">
        <v>103</v>
      </c>
      <c r="B22" s="82">
        <v>136159143704</v>
      </c>
      <c r="C22" s="82"/>
      <c r="D22" s="79"/>
      <c r="E22" s="98" t="s">
        <v>97</v>
      </c>
      <c r="F22" s="23"/>
      <c r="G22" s="23"/>
      <c r="H22" s="23"/>
      <c r="I22" s="23"/>
      <c r="J22" s="23"/>
      <c r="K22" s="23"/>
    </row>
    <row r="23" spans="1:11" ht="12.75">
      <c r="A23" s="73" t="s">
        <v>104</v>
      </c>
      <c r="B23" s="82">
        <v>310945641760</v>
      </c>
      <c r="C23" s="82"/>
      <c r="D23" s="73"/>
      <c r="E23" s="82" t="s">
        <v>28</v>
      </c>
      <c r="F23" s="31">
        <v>22</v>
      </c>
      <c r="G23" s="9">
        <v>418.8</v>
      </c>
      <c r="H23" s="43">
        <v>108.19</v>
      </c>
      <c r="I23">
        <f aca="true" t="shared" si="0" ref="I23:I30">G23*H23</f>
        <v>45309.972</v>
      </c>
      <c r="J23" s="23"/>
      <c r="K23" s="23"/>
    </row>
    <row r="24" spans="1:11" ht="12.75">
      <c r="A24" s="73" t="s">
        <v>105</v>
      </c>
      <c r="B24" s="82">
        <v>7586449217</v>
      </c>
      <c r="C24" s="82"/>
      <c r="D24" s="73" t="s">
        <v>106</v>
      </c>
      <c r="E24" s="82">
        <v>93698663327</v>
      </c>
      <c r="F24" s="31">
        <v>22</v>
      </c>
      <c r="G24" s="13">
        <v>35.5</v>
      </c>
      <c r="H24" s="31">
        <v>113.37</v>
      </c>
      <c r="I24">
        <f t="shared" si="0"/>
        <v>4024.635</v>
      </c>
      <c r="J24" s="23"/>
      <c r="K24" s="23"/>
    </row>
    <row r="25" spans="1:11" ht="12.75">
      <c r="A25" s="73" t="s">
        <v>107</v>
      </c>
      <c r="B25" s="82">
        <v>639086651070</v>
      </c>
      <c r="C25" s="82"/>
      <c r="D25" s="99">
        <v>2</v>
      </c>
      <c r="E25" s="82">
        <v>74169180594</v>
      </c>
      <c r="F25" s="31">
        <v>22</v>
      </c>
      <c r="G25" s="9">
        <v>24.49</v>
      </c>
      <c r="H25" s="43">
        <v>108.19</v>
      </c>
      <c r="I25">
        <f t="shared" si="0"/>
        <v>2649.5730999999996</v>
      </c>
      <c r="J25" s="23"/>
      <c r="K25" s="23"/>
    </row>
    <row r="26" spans="1:11" ht="12.75">
      <c r="A26" s="73" t="s">
        <v>108</v>
      </c>
      <c r="B26" s="82">
        <v>132563194869</v>
      </c>
      <c r="C26" s="82"/>
      <c r="D26" s="73" t="s">
        <v>107</v>
      </c>
      <c r="E26" s="82">
        <v>48550664771</v>
      </c>
      <c r="F26" s="41">
        <v>22</v>
      </c>
      <c r="G26" s="19">
        <v>6.37</v>
      </c>
      <c r="H26" s="47">
        <v>110.63</v>
      </c>
      <c r="I26">
        <f t="shared" si="0"/>
        <v>704.7130999999999</v>
      </c>
      <c r="J26" s="23"/>
      <c r="K26" s="23"/>
    </row>
    <row r="27" spans="1:11" ht="12.75">
      <c r="A27" s="73" t="s">
        <v>109</v>
      </c>
      <c r="B27" s="82">
        <v>19944144365</v>
      </c>
      <c r="C27" s="82"/>
      <c r="D27" s="73" t="s">
        <v>108</v>
      </c>
      <c r="E27" s="82">
        <v>80477307453</v>
      </c>
      <c r="F27" s="48">
        <v>17</v>
      </c>
      <c r="G27" s="49">
        <v>157.58</v>
      </c>
      <c r="H27" s="48">
        <v>102.65</v>
      </c>
      <c r="I27">
        <f t="shared" si="0"/>
        <v>16175.587000000001</v>
      </c>
      <c r="J27" s="23"/>
      <c r="K27" s="23"/>
    </row>
    <row r="28" spans="1:11" ht="12.75">
      <c r="A28" s="73"/>
      <c r="B28" s="87">
        <f>SUM(B5:B27)</f>
        <v>7055721552607</v>
      </c>
      <c r="C28" s="82"/>
      <c r="D28" s="73" t="s">
        <v>110</v>
      </c>
      <c r="E28" s="82">
        <v>12880635240</v>
      </c>
      <c r="F28" s="31">
        <v>8</v>
      </c>
      <c r="G28" s="9">
        <v>69.16</v>
      </c>
      <c r="H28" s="32">
        <v>114.8</v>
      </c>
      <c r="I28">
        <f t="shared" si="0"/>
        <v>7939.567999999999</v>
      </c>
      <c r="J28" s="23"/>
      <c r="K28" s="23"/>
    </row>
    <row r="29" spans="1:11" ht="12.75">
      <c r="A29" s="83"/>
      <c r="B29" s="84">
        <f>B28/$A$4*1000</f>
        <v>274.9611468907805</v>
      </c>
      <c r="C29" s="85"/>
      <c r="D29" s="73" t="s">
        <v>94</v>
      </c>
      <c r="E29" s="82">
        <v>66698606722</v>
      </c>
      <c r="F29" s="31">
        <v>0</v>
      </c>
      <c r="G29" s="9">
        <v>274.97</v>
      </c>
      <c r="H29" s="32">
        <v>111.98</v>
      </c>
      <c r="I29">
        <f t="shared" si="0"/>
        <v>30791.140600000002</v>
      </c>
      <c r="J29" s="23"/>
      <c r="K29" s="23"/>
    </row>
    <row r="30" spans="1:11" ht="12.75">
      <c r="A30" s="79" t="s">
        <v>111</v>
      </c>
      <c r="B30" s="80"/>
      <c r="C30" s="81">
        <v>190434903378</v>
      </c>
      <c r="D30" s="73" t="s">
        <v>112</v>
      </c>
      <c r="E30" s="82">
        <v>214363785483</v>
      </c>
      <c r="F30" s="41">
        <v>0</v>
      </c>
      <c r="G30" s="19">
        <v>13.13</v>
      </c>
      <c r="H30" s="47">
        <v>117.72</v>
      </c>
      <c r="I30">
        <f t="shared" si="0"/>
        <v>1545.6636</v>
      </c>
      <c r="J30" s="23"/>
      <c r="K30" s="23"/>
    </row>
    <row r="31" spans="1:11" ht="13.5" thickBot="1">
      <c r="A31" s="73" t="s">
        <v>113</v>
      </c>
      <c r="B31" s="13"/>
      <c r="C31" s="76">
        <v>146549634843</v>
      </c>
      <c r="D31" s="73" t="s">
        <v>114</v>
      </c>
      <c r="E31" s="82">
        <v>320081370391</v>
      </c>
      <c r="F31" s="34" t="s">
        <v>40</v>
      </c>
      <c r="G31" s="16">
        <f>SUM(G23:G30)</f>
        <v>1000</v>
      </c>
      <c r="H31" s="34">
        <v>109.14</v>
      </c>
      <c r="I31" s="23">
        <f>SUM(I23:I30)</f>
        <v>109140.8524</v>
      </c>
      <c r="J31" s="23"/>
      <c r="K31" s="23"/>
    </row>
    <row r="32" spans="1:11" ht="12.75">
      <c r="A32" s="73"/>
      <c r="B32" s="13"/>
      <c r="C32" s="77">
        <f>SUM(C30:C31)</f>
        <v>336984538221</v>
      </c>
      <c r="D32" s="73"/>
      <c r="E32" s="82">
        <f>SUM(E24:E31)</f>
        <v>910920213981</v>
      </c>
      <c r="F32" s="23"/>
      <c r="G32" s="23"/>
      <c r="H32" s="23"/>
      <c r="I32" s="23">
        <f>I31/1000</f>
        <v>109.1408524</v>
      </c>
      <c r="J32" s="23"/>
      <c r="K32" s="23"/>
    </row>
    <row r="33" spans="1:11" ht="12.75">
      <c r="A33" s="72"/>
      <c r="B33" s="62"/>
      <c r="C33" s="78">
        <f>C32/$A$4*1000</f>
        <v>13.132272074919168</v>
      </c>
      <c r="D33" s="90"/>
      <c r="E33" s="100">
        <f>E32/A4*1000</f>
        <v>35.49851916557936</v>
      </c>
      <c r="F33" s="23"/>
      <c r="G33" s="23"/>
      <c r="H33" s="23"/>
      <c r="I33" s="23"/>
      <c r="J33" s="23"/>
      <c r="K33" s="23"/>
    </row>
    <row r="34" spans="1:11" ht="12.75">
      <c r="A34" s="69"/>
      <c r="D34" s="23"/>
      <c r="E34" s="23"/>
      <c r="F34" s="23"/>
      <c r="G34" s="23"/>
      <c r="H34" s="23"/>
      <c r="I34" s="23"/>
      <c r="J34" s="23"/>
      <c r="K34" s="23"/>
    </row>
    <row r="35" spans="1:11" ht="12.75">
      <c r="A35" s="69"/>
      <c r="B35" s="23" t="s">
        <v>13</v>
      </c>
      <c r="C35" s="23"/>
      <c r="D35" s="23"/>
      <c r="E35" s="23"/>
      <c r="F35" s="23"/>
      <c r="G35" s="23"/>
      <c r="H35" s="23"/>
      <c r="I35" s="23"/>
      <c r="J35" s="23"/>
      <c r="K35" s="23"/>
    </row>
    <row r="36" spans="1:11" ht="12.75">
      <c r="A36" s="69"/>
      <c r="B36" s="23"/>
      <c r="C36" s="23"/>
      <c r="D36" s="23"/>
      <c r="E36" s="23"/>
      <c r="F36" s="23"/>
      <c r="G36" s="23"/>
      <c r="H36" s="23"/>
      <c r="I36" s="23"/>
      <c r="J36" s="23"/>
      <c r="K36" s="23"/>
    </row>
    <row r="37" spans="1:11" ht="12.75">
      <c r="A37" s="69"/>
      <c r="B37" s="23"/>
      <c r="C37" s="23"/>
      <c r="D37" s="23"/>
      <c r="E37" s="23"/>
      <c r="F37" s="23"/>
      <c r="G37" s="23"/>
      <c r="H37" s="23"/>
      <c r="I37" s="23"/>
      <c r="J37" s="23"/>
      <c r="K37" s="23"/>
    </row>
    <row r="38" spans="1:11" ht="12.75">
      <c r="A38" s="69"/>
      <c r="B38" s="23"/>
      <c r="C38" s="23"/>
      <c r="D38" s="23"/>
      <c r="E38" s="23"/>
      <c r="F38" s="23"/>
      <c r="G38" s="23"/>
      <c r="H38" s="23"/>
      <c r="I38" s="23"/>
      <c r="J38" s="23"/>
      <c r="K38" s="23"/>
    </row>
    <row r="39" spans="1:11" ht="12.75">
      <c r="A39" s="69"/>
      <c r="B39" s="23"/>
      <c r="C39" s="23"/>
      <c r="D39" s="23"/>
      <c r="E39" s="23"/>
      <c r="F39" s="23"/>
      <c r="G39" s="23"/>
      <c r="H39" s="23"/>
      <c r="I39" s="23"/>
      <c r="J39" s="23"/>
      <c r="K39" s="23"/>
    </row>
    <row r="40" spans="1:11" ht="12.75">
      <c r="A40" s="69"/>
      <c r="B40" s="23"/>
      <c r="C40" s="23"/>
      <c r="D40" s="23"/>
      <c r="E40" s="23"/>
      <c r="F40" s="23"/>
      <c r="G40" s="23"/>
      <c r="H40" s="23"/>
      <c r="I40" s="23"/>
      <c r="J40" s="23"/>
      <c r="K40" s="23"/>
    </row>
    <row r="41" spans="1:11" ht="12.75">
      <c r="A41" s="69"/>
      <c r="B41" s="23"/>
      <c r="C41" s="23"/>
      <c r="D41" s="23"/>
      <c r="E41" s="23"/>
      <c r="F41" s="23"/>
      <c r="G41" s="23"/>
      <c r="H41" s="23"/>
      <c r="I41" s="23"/>
      <c r="J41" s="23"/>
      <c r="K41" s="23"/>
    </row>
    <row r="42" spans="1:11" ht="12.75">
      <c r="A42" s="69"/>
      <c r="B42" s="23"/>
      <c r="C42" s="23"/>
      <c r="D42" s="23"/>
      <c r="E42" s="23"/>
      <c r="F42" s="23"/>
      <c r="G42" s="23"/>
      <c r="H42" s="23"/>
      <c r="I42" s="23"/>
      <c r="J42" s="23"/>
      <c r="K42" s="23"/>
    </row>
    <row r="43" spans="1:11" ht="12.75">
      <c r="A43" s="69"/>
      <c r="B43" s="23"/>
      <c r="C43" s="23"/>
      <c r="D43" s="23"/>
      <c r="E43" s="23"/>
      <c r="F43" s="23"/>
      <c r="G43" s="23"/>
      <c r="H43" s="23"/>
      <c r="I43" s="23"/>
      <c r="J43" s="23"/>
      <c r="K43" s="23"/>
    </row>
    <row r="44" spans="1:11" ht="12.75">
      <c r="A44" s="69"/>
      <c r="B44" s="23"/>
      <c r="C44" s="23"/>
      <c r="D44" s="23"/>
      <c r="E44" s="23"/>
      <c r="F44" s="23"/>
      <c r="G44" s="23"/>
      <c r="H44" s="23"/>
      <c r="I44" s="23"/>
      <c r="J44" s="23"/>
      <c r="K44" s="23"/>
    </row>
    <row r="45" spans="1:11" ht="12.75">
      <c r="A45" s="69"/>
      <c r="B45" s="23"/>
      <c r="C45" s="23"/>
      <c r="D45" s="23"/>
      <c r="E45" s="23"/>
      <c r="F45" s="23"/>
      <c r="G45" s="23"/>
      <c r="H45" s="23"/>
      <c r="I45" s="23"/>
      <c r="J45" s="23"/>
      <c r="K45" s="23"/>
    </row>
    <row r="46" spans="1:11" ht="12.75">
      <c r="A46" s="69"/>
      <c r="B46" s="23"/>
      <c r="C46" s="23"/>
      <c r="D46" s="23"/>
      <c r="E46" s="23"/>
      <c r="F46" s="23"/>
      <c r="G46" s="23"/>
      <c r="H46" s="23"/>
      <c r="I46" s="23"/>
      <c r="J46" s="23"/>
      <c r="K46" s="23"/>
    </row>
    <row r="47" spans="1:11" ht="12.75">
      <c r="A47" s="69"/>
      <c r="B47" s="23"/>
      <c r="C47" s="23"/>
      <c r="D47" s="23"/>
      <c r="E47" s="23"/>
      <c r="F47" s="23"/>
      <c r="G47" s="23"/>
      <c r="H47" s="23"/>
      <c r="I47" s="23"/>
      <c r="J47" s="23"/>
      <c r="K47" s="23"/>
    </row>
    <row r="48" spans="1:11" ht="12.75">
      <c r="A48" s="69"/>
      <c r="B48" s="23"/>
      <c r="C48" s="23"/>
      <c r="D48" s="23"/>
      <c r="E48" s="23"/>
      <c r="F48" s="23"/>
      <c r="G48" s="23"/>
      <c r="H48" s="23"/>
      <c r="I48" s="23"/>
      <c r="J48" s="23"/>
      <c r="K48" s="23"/>
    </row>
    <row r="49" spans="1:11" ht="12.75">
      <c r="A49" s="69"/>
      <c r="B49" s="23"/>
      <c r="C49" s="23"/>
      <c r="D49" s="23"/>
      <c r="E49" s="23"/>
      <c r="F49" s="23"/>
      <c r="G49" s="23"/>
      <c r="H49" s="23"/>
      <c r="I49" s="23"/>
      <c r="J49" s="23"/>
      <c r="K49" s="23"/>
    </row>
    <row r="50" spans="1:11" ht="12.75">
      <c r="A50" s="69"/>
      <c r="B50" s="23"/>
      <c r="C50" s="23"/>
      <c r="D50" s="23"/>
      <c r="E50" s="23"/>
      <c r="F50" s="23"/>
      <c r="G50" s="23"/>
      <c r="H50" s="23"/>
      <c r="I50" s="23"/>
      <c r="J50" s="23"/>
      <c r="K50" s="23"/>
    </row>
    <row r="51" spans="1:11" ht="12.75">
      <c r="A51" s="69"/>
      <c r="B51" s="23"/>
      <c r="C51" s="23"/>
      <c r="D51" s="23"/>
      <c r="E51" s="23"/>
      <c r="F51" s="23"/>
      <c r="G51" s="23"/>
      <c r="H51" s="23"/>
      <c r="I51" s="23"/>
      <c r="J51" s="23"/>
      <c r="K51" s="23"/>
    </row>
    <row r="52" spans="1:11" ht="12.75">
      <c r="A52" s="69"/>
      <c r="B52" s="23"/>
      <c r="C52" s="23"/>
      <c r="D52" s="23"/>
      <c r="E52" s="23"/>
      <c r="F52" s="23"/>
      <c r="G52" s="23"/>
      <c r="H52" s="23"/>
      <c r="I52" s="23"/>
      <c r="J52" s="23"/>
      <c r="K52" s="23"/>
    </row>
    <row r="53" spans="1:11" ht="12.75">
      <c r="A53" s="69"/>
      <c r="B53" s="23"/>
      <c r="C53" s="23"/>
      <c r="D53" s="23"/>
      <c r="E53" s="23"/>
      <c r="F53" s="23"/>
      <c r="G53" s="23"/>
      <c r="H53" s="23"/>
      <c r="I53" s="23"/>
      <c r="J53" s="23"/>
      <c r="K53" s="23"/>
    </row>
    <row r="54" spans="1:11" ht="12.75">
      <c r="A54" s="69"/>
      <c r="B54" s="23"/>
      <c r="C54" s="23"/>
      <c r="D54" s="23"/>
      <c r="E54" s="23"/>
      <c r="F54" s="23"/>
      <c r="G54" s="23"/>
      <c r="H54" s="23"/>
      <c r="I54" s="23"/>
      <c r="J54" s="23"/>
      <c r="K54" s="23"/>
    </row>
    <row r="55" spans="1:11" ht="12.75">
      <c r="A55" s="69"/>
      <c r="B55" s="23"/>
      <c r="C55" s="23"/>
      <c r="D55" s="23"/>
      <c r="E55" s="23"/>
      <c r="F55" s="23"/>
      <c r="G55" s="23"/>
      <c r="H55" s="23"/>
      <c r="I55" s="23"/>
      <c r="J55" s="23"/>
      <c r="K55" s="23"/>
    </row>
    <row r="56" spans="1:11" ht="12.75">
      <c r="A56" s="69"/>
      <c r="B56" s="23"/>
      <c r="C56" s="23"/>
      <c r="D56" s="23"/>
      <c r="E56" s="23"/>
      <c r="F56" s="23"/>
      <c r="G56" s="23"/>
      <c r="H56" s="23"/>
      <c r="I56" s="23"/>
      <c r="J56" s="23"/>
      <c r="K56" s="23"/>
    </row>
    <row r="57" spans="1:11" ht="12.75">
      <c r="A57" s="69"/>
      <c r="B57" s="23"/>
      <c r="C57" s="23"/>
      <c r="D57" s="23"/>
      <c r="E57" s="23"/>
      <c r="F57" s="23"/>
      <c r="G57" s="23"/>
      <c r="H57" s="23"/>
      <c r="I57" s="23"/>
      <c r="J57" s="23"/>
      <c r="K57" s="23"/>
    </row>
    <row r="58" spans="1:11" ht="12.75">
      <c r="A58" s="69"/>
      <c r="B58" s="23"/>
      <c r="C58" s="23"/>
      <c r="D58" s="23"/>
      <c r="E58" s="23"/>
      <c r="F58" s="23"/>
      <c r="G58" s="23"/>
      <c r="H58" s="23"/>
      <c r="I58" s="23"/>
      <c r="J58" s="23"/>
      <c r="K58" s="23"/>
    </row>
    <row r="59" spans="1:11" ht="12.75">
      <c r="A59" s="69"/>
      <c r="B59" s="23"/>
      <c r="C59" s="23"/>
      <c r="D59" s="23"/>
      <c r="E59" s="23"/>
      <c r="F59" s="23"/>
      <c r="G59" s="23"/>
      <c r="H59" s="23"/>
      <c r="I59" s="23"/>
      <c r="J59" s="23"/>
      <c r="K59" s="23"/>
    </row>
    <row r="60" spans="1:11" ht="12.75">
      <c r="A60" s="69"/>
      <c r="B60" s="23"/>
      <c r="C60" s="23"/>
      <c r="D60" s="23"/>
      <c r="E60" s="23"/>
      <c r="F60" s="23"/>
      <c r="G60" s="23"/>
      <c r="H60" s="23"/>
      <c r="I60" s="23"/>
      <c r="J60" s="23"/>
      <c r="K60" s="23"/>
    </row>
    <row r="61" spans="1:11" ht="12.75">
      <c r="A61" s="69"/>
      <c r="B61" s="23"/>
      <c r="C61" s="23"/>
      <c r="D61" s="23"/>
      <c r="E61" s="23"/>
      <c r="F61" s="23"/>
      <c r="G61" s="23"/>
      <c r="H61" s="23"/>
      <c r="I61" s="23"/>
      <c r="J61" s="23"/>
      <c r="K61" s="23"/>
    </row>
    <row r="62" spans="1:11" ht="12.75">
      <c r="A62" s="69"/>
      <c r="B62" s="23"/>
      <c r="C62" s="23"/>
      <c r="D62" s="23"/>
      <c r="E62" s="23"/>
      <c r="F62" s="23"/>
      <c r="G62" s="23"/>
      <c r="H62" s="23"/>
      <c r="I62" s="23"/>
      <c r="J62" s="23"/>
      <c r="K62" s="23"/>
    </row>
    <row r="63" spans="1:11" ht="12.75">
      <c r="A63" s="69"/>
      <c r="B63" s="23"/>
      <c r="C63" s="23"/>
      <c r="D63" s="23"/>
      <c r="E63" s="23"/>
      <c r="F63" s="23"/>
      <c r="G63" s="23"/>
      <c r="H63" s="23"/>
      <c r="I63" s="23"/>
      <c r="J63" s="23"/>
      <c r="K63" s="23"/>
    </row>
    <row r="64" spans="1:11" ht="12.75">
      <c r="A64" s="69"/>
      <c r="B64" s="23"/>
      <c r="C64" s="23"/>
      <c r="D64" s="23"/>
      <c r="E64" s="23"/>
      <c r="F64" s="23"/>
      <c r="G64" s="23"/>
      <c r="H64" s="23"/>
      <c r="I64" s="23"/>
      <c r="J64" s="23"/>
      <c r="K64" s="23"/>
    </row>
    <row r="65" spans="1:11" ht="12.75">
      <c r="A65" s="69"/>
      <c r="B65" s="23"/>
      <c r="C65" s="23"/>
      <c r="D65" s="23"/>
      <c r="E65" s="23"/>
      <c r="F65" s="23"/>
      <c r="G65" s="23"/>
      <c r="H65" s="23"/>
      <c r="I65" s="23"/>
      <c r="J65" s="23"/>
      <c r="K65" s="23"/>
    </row>
    <row r="66" spans="1:11" ht="12.75">
      <c r="A66" s="69"/>
      <c r="B66" s="23"/>
      <c r="C66" s="23"/>
      <c r="D66" s="23"/>
      <c r="E66" s="23"/>
      <c r="F66" s="23"/>
      <c r="G66" s="23"/>
      <c r="H66" s="23"/>
      <c r="I66" s="23"/>
      <c r="J66" s="23"/>
      <c r="K66" s="23"/>
    </row>
    <row r="67" spans="1:11" ht="12.75">
      <c r="A67" s="69"/>
      <c r="B67" s="23"/>
      <c r="C67" s="23"/>
      <c r="D67" s="23"/>
      <c r="E67" s="23"/>
      <c r="F67" s="23"/>
      <c r="G67" s="23"/>
      <c r="H67" s="23"/>
      <c r="I67" s="23"/>
      <c r="J67" s="23"/>
      <c r="K67" s="23"/>
    </row>
    <row r="68" spans="1:11" ht="12.75">
      <c r="A68" s="69"/>
      <c r="B68" s="23"/>
      <c r="C68" s="23"/>
      <c r="D68" s="23"/>
      <c r="E68" s="23"/>
      <c r="F68" s="23"/>
      <c r="G68" s="23"/>
      <c r="H68" s="23"/>
      <c r="I68" s="23"/>
      <c r="J68" s="23"/>
      <c r="K68" s="23"/>
    </row>
    <row r="69" spans="1:11" ht="12.75">
      <c r="A69" s="69"/>
      <c r="B69" s="23"/>
      <c r="C69" s="23"/>
      <c r="D69" s="23"/>
      <c r="E69" s="23"/>
      <c r="F69" s="23"/>
      <c r="G69" s="23"/>
      <c r="H69" s="23"/>
      <c r="I69" s="23"/>
      <c r="J69" s="23"/>
      <c r="K69" s="23"/>
    </row>
    <row r="70" spans="1:11" ht="12.75">
      <c r="A70" s="69"/>
      <c r="B70" s="23"/>
      <c r="C70" s="23"/>
      <c r="D70" s="23"/>
      <c r="E70" s="23"/>
      <c r="F70" s="23"/>
      <c r="G70" s="23"/>
      <c r="H70" s="23"/>
      <c r="I70" s="23"/>
      <c r="J70" s="23"/>
      <c r="K70" s="23"/>
    </row>
    <row r="71" spans="1:11" ht="12.75">
      <c r="A71" s="69"/>
      <c r="B71" s="23"/>
      <c r="C71" s="23"/>
      <c r="D71" s="23"/>
      <c r="E71" s="23"/>
      <c r="F71" s="23"/>
      <c r="G71" s="23"/>
      <c r="H71" s="23"/>
      <c r="I71" s="23"/>
      <c r="J71" s="23"/>
      <c r="K71" s="23"/>
    </row>
    <row r="72" spans="1:11" ht="12.75">
      <c r="A72" s="69"/>
      <c r="B72" s="23"/>
      <c r="C72" s="23"/>
      <c r="D72" s="23"/>
      <c r="E72" s="23"/>
      <c r="F72" s="23"/>
      <c r="G72" s="23"/>
      <c r="H72" s="23"/>
      <c r="I72" s="23"/>
      <c r="J72" s="23"/>
      <c r="K72" s="23"/>
    </row>
    <row r="73" spans="1:11" ht="12.75">
      <c r="A73" s="69"/>
      <c r="B73" s="23"/>
      <c r="C73" s="23"/>
      <c r="D73" s="23"/>
      <c r="E73" s="23"/>
      <c r="F73" s="23"/>
      <c r="G73" s="23"/>
      <c r="H73" s="23"/>
      <c r="I73" s="23"/>
      <c r="J73" s="23"/>
      <c r="K73" s="23"/>
    </row>
    <row r="74" spans="1:11" ht="12.75">
      <c r="A74" s="69"/>
      <c r="B74" s="23"/>
      <c r="C74" s="23"/>
      <c r="D74" s="23"/>
      <c r="E74" s="23"/>
      <c r="F74" s="23"/>
      <c r="G74" s="23"/>
      <c r="H74" s="23"/>
      <c r="I74" s="23"/>
      <c r="J74" s="23"/>
      <c r="K74" s="23"/>
    </row>
    <row r="75" spans="1:11" ht="12.75">
      <c r="A75" s="69"/>
      <c r="B75" s="23"/>
      <c r="C75" s="23"/>
      <c r="D75" s="23"/>
      <c r="E75" s="23"/>
      <c r="F75" s="23"/>
      <c r="G75" s="23"/>
      <c r="H75" s="23"/>
      <c r="I75" s="23"/>
      <c r="J75" s="23"/>
      <c r="K75" s="23"/>
    </row>
    <row r="76" spans="1:11" ht="12.75">
      <c r="A76" s="69"/>
      <c r="B76" s="23"/>
      <c r="C76" s="23"/>
      <c r="D76" s="23"/>
      <c r="E76" s="23"/>
      <c r="F76" s="23"/>
      <c r="G76" s="23"/>
      <c r="H76" s="23"/>
      <c r="I76" s="23"/>
      <c r="J76" s="23"/>
      <c r="K76" s="23"/>
    </row>
    <row r="77" spans="1:11" ht="12.75">
      <c r="A77" s="69"/>
      <c r="B77" s="23"/>
      <c r="C77" s="23"/>
      <c r="D77" s="23"/>
      <c r="E77" s="23"/>
      <c r="F77" s="23"/>
      <c r="G77" s="23"/>
      <c r="H77" s="23"/>
      <c r="I77" s="23"/>
      <c r="J77" s="23"/>
      <c r="K77" s="23"/>
    </row>
    <row r="78" spans="1:11" ht="12.75">
      <c r="A78" s="69"/>
      <c r="B78" s="23"/>
      <c r="C78" s="23"/>
      <c r="D78" s="23"/>
      <c r="E78" s="23"/>
      <c r="F78" s="23"/>
      <c r="G78" s="23"/>
      <c r="H78" s="23"/>
      <c r="I78" s="23"/>
      <c r="J78" s="23"/>
      <c r="K78" s="23"/>
    </row>
    <row r="79" spans="1:11" ht="12.75">
      <c r="A79" s="69"/>
      <c r="B79" s="23"/>
      <c r="C79" s="23"/>
      <c r="D79" s="23"/>
      <c r="E79" s="23"/>
      <c r="F79" s="23"/>
      <c r="G79" s="23"/>
      <c r="H79" s="23"/>
      <c r="I79" s="23"/>
      <c r="J79" s="23"/>
      <c r="K79" s="23"/>
    </row>
    <row r="80" spans="1:11" ht="12.75">
      <c r="A80" s="69"/>
      <c r="B80" s="23"/>
      <c r="C80" s="23"/>
      <c r="D80" s="23"/>
      <c r="E80" s="23"/>
      <c r="F80" s="23"/>
      <c r="G80" s="23"/>
      <c r="H80" s="23"/>
      <c r="I80" s="23"/>
      <c r="J80" s="23"/>
      <c r="K80" s="23"/>
    </row>
    <row r="81" spans="1:11" ht="12.75">
      <c r="A81" s="69"/>
      <c r="B81" s="23"/>
      <c r="C81" s="23"/>
      <c r="D81" s="23"/>
      <c r="E81" s="23"/>
      <c r="F81" s="23"/>
      <c r="G81" s="23"/>
      <c r="H81" s="23"/>
      <c r="I81" s="23"/>
      <c r="J81" s="23"/>
      <c r="K81" s="23"/>
    </row>
    <row r="82" spans="1:11" ht="12.75">
      <c r="A82" s="69"/>
      <c r="B82" s="23"/>
      <c r="C82" s="23"/>
      <c r="D82" s="23"/>
      <c r="E82" s="23"/>
      <c r="F82" s="23"/>
      <c r="G82" s="23"/>
      <c r="H82" s="23"/>
      <c r="I82" s="23"/>
      <c r="J82" s="23"/>
      <c r="K82" s="23"/>
    </row>
    <row r="83" spans="1:11" ht="12.75">
      <c r="A83" s="69"/>
      <c r="B83" s="23"/>
      <c r="C83" s="23"/>
      <c r="D83" s="23"/>
      <c r="E83" s="23"/>
      <c r="F83" s="23"/>
      <c r="G83" s="23"/>
      <c r="H83" s="23"/>
      <c r="I83" s="23"/>
      <c r="J83" s="23"/>
      <c r="K83" s="23"/>
    </row>
    <row r="84" spans="1:11" ht="12.75">
      <c r="A84" s="69"/>
      <c r="B84" s="23"/>
      <c r="C84" s="23"/>
      <c r="D84" s="23"/>
      <c r="E84" s="23"/>
      <c r="F84" s="23"/>
      <c r="G84" s="23"/>
      <c r="H84" s="23"/>
      <c r="I84" s="23"/>
      <c r="J84" s="23"/>
      <c r="K84" s="23"/>
    </row>
    <row r="85" spans="1:11" ht="12.75">
      <c r="A85" s="69"/>
      <c r="B85" s="23"/>
      <c r="C85" s="23"/>
      <c r="D85" s="23"/>
      <c r="E85" s="23"/>
      <c r="F85" s="23"/>
      <c r="G85" s="23"/>
      <c r="H85" s="23"/>
      <c r="I85" s="23"/>
      <c r="J85" s="23"/>
      <c r="K85" s="23"/>
    </row>
    <row r="86" spans="1:11" ht="12.75">
      <c r="A86" s="69"/>
      <c r="B86" s="23"/>
      <c r="C86" s="23"/>
      <c r="D86" s="23"/>
      <c r="E86" s="23"/>
      <c r="F86" s="23"/>
      <c r="G86" s="23"/>
      <c r="H86" s="23"/>
      <c r="I86" s="23"/>
      <c r="J86" s="23"/>
      <c r="K86" s="23"/>
    </row>
    <row r="87" spans="1:11" ht="12.75">
      <c r="A87" s="69"/>
      <c r="B87" s="23"/>
      <c r="C87" s="23"/>
      <c r="D87" s="23"/>
      <c r="E87" s="23"/>
      <c r="F87" s="23"/>
      <c r="G87" s="23"/>
      <c r="H87" s="23"/>
      <c r="I87" s="23"/>
      <c r="J87" s="23"/>
      <c r="K87" s="23"/>
    </row>
    <row r="88" spans="1:11" ht="12.75">
      <c r="A88" s="69"/>
      <c r="B88" s="23"/>
      <c r="C88" s="23"/>
      <c r="D88" s="23"/>
      <c r="E88" s="23"/>
      <c r="F88" s="23"/>
      <c r="G88" s="23"/>
      <c r="H88" s="23"/>
      <c r="I88" s="23"/>
      <c r="J88" s="23"/>
      <c r="K88" s="23"/>
    </row>
    <row r="89" spans="1:11" ht="12.75">
      <c r="A89" s="69"/>
      <c r="B89" s="23"/>
      <c r="C89" s="23"/>
      <c r="D89" s="23"/>
      <c r="E89" s="23"/>
      <c r="F89" s="23"/>
      <c r="G89" s="23"/>
      <c r="H89" s="23"/>
      <c r="I89" s="23"/>
      <c r="J89" s="23"/>
      <c r="K89" s="23"/>
    </row>
    <row r="90" spans="1:11" ht="12.75">
      <c r="A90" s="69"/>
      <c r="B90" s="23"/>
      <c r="C90" s="23"/>
      <c r="D90" s="23"/>
      <c r="E90" s="23"/>
      <c r="F90" s="23"/>
      <c r="G90" s="23"/>
      <c r="H90" s="23"/>
      <c r="I90" s="23"/>
      <c r="J90" s="23"/>
      <c r="K90" s="23"/>
    </row>
    <row r="91" spans="1:11" ht="12.75">
      <c r="A91" s="69"/>
      <c r="B91" s="23"/>
      <c r="C91" s="23"/>
      <c r="D91" s="23"/>
      <c r="E91" s="23"/>
      <c r="F91" s="23"/>
      <c r="G91" s="23"/>
      <c r="H91" s="23"/>
      <c r="I91" s="23"/>
      <c r="J91" s="23"/>
      <c r="K91" s="23"/>
    </row>
    <row r="92" spans="1:11" ht="12.75">
      <c r="A92" s="69"/>
      <c r="B92" s="23"/>
      <c r="C92" s="23"/>
      <c r="D92" s="23"/>
      <c r="E92" s="23"/>
      <c r="F92" s="23"/>
      <c r="G92" s="23"/>
      <c r="H92" s="23"/>
      <c r="I92" s="23"/>
      <c r="J92" s="23"/>
      <c r="K92" s="23"/>
    </row>
    <row r="93" spans="1:11" ht="12.75">
      <c r="A93" s="69"/>
      <c r="B93" s="23"/>
      <c r="C93" s="23"/>
      <c r="D93" s="23"/>
      <c r="E93" s="23"/>
      <c r="F93" s="23"/>
      <c r="G93" s="23"/>
      <c r="H93" s="23"/>
      <c r="I93" s="23"/>
      <c r="J93" s="23"/>
      <c r="K93" s="23"/>
    </row>
    <row r="94" spans="1:11" ht="12.75">
      <c r="A94" s="69"/>
      <c r="B94" s="23"/>
      <c r="C94" s="23"/>
      <c r="D94" s="23"/>
      <c r="E94" s="23"/>
      <c r="F94" s="23"/>
      <c r="G94" s="23"/>
      <c r="H94" s="23"/>
      <c r="I94" s="23"/>
      <c r="J94" s="23"/>
      <c r="K94" s="23"/>
    </row>
    <row r="95" spans="1:11" ht="12.75">
      <c r="A95" s="69"/>
      <c r="B95" s="23"/>
      <c r="C95" s="23"/>
      <c r="D95" s="23"/>
      <c r="E95" s="23"/>
      <c r="F95" s="23"/>
      <c r="G95" s="23"/>
      <c r="H95" s="23"/>
      <c r="I95" s="23"/>
      <c r="J95" s="23"/>
      <c r="K95" s="23"/>
    </row>
    <row r="96" spans="1:11" ht="12.75">
      <c r="A96" s="69"/>
      <c r="B96" s="23"/>
      <c r="C96" s="23"/>
      <c r="D96" s="23"/>
      <c r="E96" s="23"/>
      <c r="F96" s="23"/>
      <c r="G96" s="23"/>
      <c r="H96" s="23"/>
      <c r="I96" s="23"/>
      <c r="J96" s="23"/>
      <c r="K96" s="23"/>
    </row>
    <row r="97" spans="1:11" ht="12.75">
      <c r="A97" s="69"/>
      <c r="B97" s="23"/>
      <c r="C97" s="23"/>
      <c r="D97" s="23"/>
      <c r="E97" s="23"/>
      <c r="F97" s="23"/>
      <c r="G97" s="23"/>
      <c r="H97" s="23"/>
      <c r="I97" s="23"/>
      <c r="J97" s="23"/>
      <c r="K97" s="23"/>
    </row>
    <row r="98" spans="1:11" ht="12.75">
      <c r="A98" s="69"/>
      <c r="B98" s="23"/>
      <c r="C98" s="23"/>
      <c r="D98" s="23"/>
      <c r="E98" s="23"/>
      <c r="F98" s="23"/>
      <c r="G98" s="23"/>
      <c r="H98" s="23"/>
      <c r="I98" s="23"/>
      <c r="J98" s="23"/>
      <c r="K98" s="23"/>
    </row>
    <row r="99" spans="1:11" ht="12.75">
      <c r="A99" s="69"/>
      <c r="B99" s="23"/>
      <c r="C99" s="23"/>
      <c r="D99" s="23"/>
      <c r="E99" s="23"/>
      <c r="F99" s="23"/>
      <c r="G99" s="23"/>
      <c r="H99" s="23"/>
      <c r="I99" s="23"/>
      <c r="J99" s="23"/>
      <c r="K99" s="23"/>
    </row>
    <row r="100" spans="1:11" ht="12.75">
      <c r="A100" s="69"/>
      <c r="B100" s="23"/>
      <c r="C100" s="23"/>
      <c r="D100" s="23"/>
      <c r="E100" s="23"/>
      <c r="F100" s="23"/>
      <c r="G100" s="23"/>
      <c r="H100" s="23"/>
      <c r="I100" s="23"/>
      <c r="J100" s="23"/>
      <c r="K100" s="23"/>
    </row>
    <row r="101" spans="1:11" ht="12.75">
      <c r="A101" s="69"/>
      <c r="B101" s="23"/>
      <c r="C101" s="23"/>
      <c r="D101" s="23"/>
      <c r="E101" s="23"/>
      <c r="F101" s="23"/>
      <c r="G101" s="23"/>
      <c r="H101" s="23"/>
      <c r="I101" s="23"/>
      <c r="J101" s="23"/>
      <c r="K101" s="23"/>
    </row>
    <row r="102" spans="1:11" ht="12.75">
      <c r="A102" s="69"/>
      <c r="B102" s="23"/>
      <c r="C102" s="23"/>
      <c r="D102" s="23"/>
      <c r="E102" s="23"/>
      <c r="F102" s="23"/>
      <c r="G102" s="23"/>
      <c r="H102" s="23"/>
      <c r="I102" s="23"/>
      <c r="J102" s="23"/>
      <c r="K102" s="23"/>
    </row>
    <row r="103" spans="1:11" ht="12.75">
      <c r="A103" s="69"/>
      <c r="B103" s="23"/>
      <c r="C103" s="23"/>
      <c r="D103" s="23"/>
      <c r="E103" s="23"/>
      <c r="F103" s="23"/>
      <c r="G103" s="23"/>
      <c r="H103" s="23"/>
      <c r="I103" s="23"/>
      <c r="J103" s="23"/>
      <c r="K103" s="23"/>
    </row>
    <row r="104" spans="1:11" ht="12.75">
      <c r="A104" s="69"/>
      <c r="B104" s="23"/>
      <c r="C104" s="23"/>
      <c r="D104" s="23"/>
      <c r="E104" s="23"/>
      <c r="F104" s="23"/>
      <c r="G104" s="23"/>
      <c r="H104" s="23"/>
      <c r="I104" s="23"/>
      <c r="J104" s="23"/>
      <c r="K104" s="23"/>
    </row>
    <row r="105" spans="1:11" ht="12.75">
      <c r="A105" s="69"/>
      <c r="B105" s="23"/>
      <c r="C105" s="23"/>
      <c r="D105" s="23"/>
      <c r="E105" s="23"/>
      <c r="F105" s="23"/>
      <c r="G105" s="23"/>
      <c r="H105" s="23"/>
      <c r="I105" s="23"/>
      <c r="J105" s="23"/>
      <c r="K105" s="23"/>
    </row>
    <row r="106" spans="1:11" ht="12.75">
      <c r="A106" s="69"/>
      <c r="B106" s="23"/>
      <c r="C106" s="23"/>
      <c r="D106" s="23"/>
      <c r="E106" s="23"/>
      <c r="F106" s="23"/>
      <c r="G106" s="23"/>
      <c r="H106" s="23"/>
      <c r="I106" s="23"/>
      <c r="J106" s="23"/>
      <c r="K106" s="23"/>
    </row>
    <row r="107" spans="1:11" ht="12.75">
      <c r="A107" s="69"/>
      <c r="B107" s="23"/>
      <c r="C107" s="23"/>
      <c r="D107" s="23"/>
      <c r="E107" s="23"/>
      <c r="F107" s="23"/>
      <c r="G107" s="23"/>
      <c r="H107" s="23"/>
      <c r="I107" s="23"/>
      <c r="J107" s="23"/>
      <c r="K107" s="23"/>
    </row>
    <row r="108" spans="1:11" ht="12.75">
      <c r="A108" s="69"/>
      <c r="B108" s="23"/>
      <c r="C108" s="23"/>
      <c r="D108" s="23"/>
      <c r="E108" s="23"/>
      <c r="F108" s="23"/>
      <c r="G108" s="23"/>
      <c r="H108" s="23"/>
      <c r="I108" s="23"/>
      <c r="J108" s="23"/>
      <c r="K108" s="23"/>
    </row>
    <row r="109" spans="1:11" ht="12.75">
      <c r="A109" s="69"/>
      <c r="B109" s="23"/>
      <c r="C109" s="23"/>
      <c r="D109" s="23"/>
      <c r="E109" s="23"/>
      <c r="F109" s="23"/>
      <c r="G109" s="23"/>
      <c r="H109" s="23"/>
      <c r="I109" s="23"/>
      <c r="J109" s="23"/>
      <c r="K109" s="23"/>
    </row>
    <row r="110" spans="1:11" ht="12.75">
      <c r="A110" s="69"/>
      <c r="B110" s="23"/>
      <c r="C110" s="23"/>
      <c r="D110" s="23"/>
      <c r="E110" s="23"/>
      <c r="F110" s="23"/>
      <c r="G110" s="23"/>
      <c r="H110" s="23"/>
      <c r="I110" s="23"/>
      <c r="J110" s="23"/>
      <c r="K110" s="23"/>
    </row>
    <row r="111" spans="1:11" ht="12.75">
      <c r="A111" s="69"/>
      <c r="B111" s="23"/>
      <c r="C111" s="23"/>
      <c r="D111" s="23"/>
      <c r="E111" s="23"/>
      <c r="F111" s="23"/>
      <c r="G111" s="23"/>
      <c r="H111" s="23"/>
      <c r="I111" s="23"/>
      <c r="J111" s="23"/>
      <c r="K111" s="23"/>
    </row>
    <row r="112" spans="1:11" ht="12.75">
      <c r="A112" s="69"/>
      <c r="B112" s="23"/>
      <c r="C112" s="23"/>
      <c r="D112" s="23"/>
      <c r="E112" s="23"/>
      <c r="F112" s="23"/>
      <c r="G112" s="23"/>
      <c r="H112" s="23"/>
      <c r="I112" s="23"/>
      <c r="J112" s="23"/>
      <c r="K112" s="23"/>
    </row>
    <row r="113" spans="1:11" ht="12.75">
      <c r="A113" s="69"/>
      <c r="B113" s="23"/>
      <c r="C113" s="23"/>
      <c r="D113" s="23"/>
      <c r="E113" s="23"/>
      <c r="F113" s="23"/>
      <c r="G113" s="23"/>
      <c r="H113" s="23"/>
      <c r="I113" s="23"/>
      <c r="J113" s="23"/>
      <c r="K113" s="23"/>
    </row>
    <row r="114" spans="1:11" ht="12.75">
      <c r="A114" s="69"/>
      <c r="B114" s="23"/>
      <c r="C114" s="23"/>
      <c r="D114" s="23"/>
      <c r="E114" s="23"/>
      <c r="F114" s="23"/>
      <c r="G114" s="23"/>
      <c r="H114" s="23"/>
      <c r="I114" s="23"/>
      <c r="J114" s="23"/>
      <c r="K114" s="23"/>
    </row>
    <row r="115" spans="1:11" ht="12.75">
      <c r="A115" s="69"/>
      <c r="B115" s="23"/>
      <c r="C115" s="23"/>
      <c r="D115" s="23"/>
      <c r="E115" s="23"/>
      <c r="F115" s="23"/>
      <c r="G115" s="23"/>
      <c r="H115" s="23"/>
      <c r="I115" s="23"/>
      <c r="J115" s="23"/>
      <c r="K115" s="23"/>
    </row>
    <row r="116" spans="1:11" ht="12.75">
      <c r="A116" s="69"/>
      <c r="B116" s="23"/>
      <c r="C116" s="23"/>
      <c r="D116" s="23"/>
      <c r="E116" s="23"/>
      <c r="F116" s="23"/>
      <c r="G116" s="23"/>
      <c r="H116" s="23"/>
      <c r="I116" s="23"/>
      <c r="J116" s="23"/>
      <c r="K116" s="23"/>
    </row>
    <row r="117" spans="1:11" ht="12.75">
      <c r="A117" s="69"/>
      <c r="B117" s="23"/>
      <c r="C117" s="23"/>
      <c r="D117" s="23"/>
      <c r="E117" s="23"/>
      <c r="F117" s="23"/>
      <c r="G117" s="23"/>
      <c r="H117" s="23"/>
      <c r="I117" s="23"/>
      <c r="J117" s="23"/>
      <c r="K117" s="23"/>
    </row>
    <row r="118" spans="1:11" ht="12.75">
      <c r="A118" s="23"/>
      <c r="B118" s="23"/>
      <c r="C118" s="23"/>
      <c r="D118" s="23"/>
      <c r="E118" s="23"/>
      <c r="F118" s="23"/>
      <c r="G118" s="23"/>
      <c r="H118" s="23"/>
      <c r="I118" s="23"/>
      <c r="J118" s="23"/>
      <c r="K118" s="23"/>
    </row>
    <row r="119" spans="1:11" ht="12.75">
      <c r="A119" s="23"/>
      <c r="B119" s="23"/>
      <c r="C119" s="23"/>
      <c r="D119" s="23"/>
      <c r="E119" s="23"/>
      <c r="F119" s="23"/>
      <c r="G119" s="23"/>
      <c r="H119" s="23"/>
      <c r="I119" s="23"/>
      <c r="J119" s="23"/>
      <c r="K119" s="23"/>
    </row>
    <row r="120" spans="1:11" ht="12.75">
      <c r="A120" s="23"/>
      <c r="B120" s="23"/>
      <c r="C120" s="23"/>
      <c r="D120" s="23"/>
      <c r="E120" s="23"/>
      <c r="F120" s="23"/>
      <c r="G120" s="23"/>
      <c r="H120" s="23"/>
      <c r="I120" s="23"/>
      <c r="J120" s="23"/>
      <c r="K120" s="23"/>
    </row>
    <row r="121" spans="1:11" ht="12.75">
      <c r="A121" s="23"/>
      <c r="B121" s="23"/>
      <c r="C121" s="23"/>
      <c r="D121" s="23"/>
      <c r="E121" s="23"/>
      <c r="F121" s="23"/>
      <c r="G121" s="23"/>
      <c r="H121" s="23"/>
      <c r="I121" s="23"/>
      <c r="J121" s="23"/>
      <c r="K121" s="23"/>
    </row>
    <row r="122" spans="1:11" ht="12.75">
      <c r="A122" s="23"/>
      <c r="B122" s="23"/>
      <c r="C122" s="23"/>
      <c r="D122" s="23"/>
      <c r="E122" s="23"/>
      <c r="F122" s="23"/>
      <c r="G122" s="23"/>
      <c r="H122" s="23"/>
      <c r="I122" s="23"/>
      <c r="J122" s="23"/>
      <c r="K122" s="23"/>
    </row>
    <row r="123" spans="1:11" ht="12.75">
      <c r="A123" s="23"/>
      <c r="B123" s="23"/>
      <c r="C123" s="23"/>
      <c r="D123" s="23"/>
      <c r="E123" s="23"/>
      <c r="F123" s="23"/>
      <c r="G123" s="23"/>
      <c r="H123" s="23"/>
      <c r="I123" s="23"/>
      <c r="J123" s="23"/>
      <c r="K123" s="23"/>
    </row>
    <row r="124" spans="1:11" ht="12.75">
      <c r="A124" s="23"/>
      <c r="B124" s="23"/>
      <c r="C124" s="23"/>
      <c r="D124" s="23"/>
      <c r="E124" s="23"/>
      <c r="F124" s="23"/>
      <c r="G124" s="23"/>
      <c r="H124" s="23"/>
      <c r="I124" s="23"/>
      <c r="J124" s="23"/>
      <c r="K124" s="23"/>
    </row>
    <row r="125" spans="1:11" ht="12.75">
      <c r="A125" s="23"/>
      <c r="B125" s="23"/>
      <c r="C125" s="23"/>
      <c r="D125" s="23"/>
      <c r="E125" s="23"/>
      <c r="F125" s="23"/>
      <c r="G125" s="23"/>
      <c r="H125" s="23"/>
      <c r="I125" s="23"/>
      <c r="J125" s="23"/>
      <c r="K125" s="23"/>
    </row>
    <row r="126" spans="1:11" ht="12.75">
      <c r="A126" s="23"/>
      <c r="B126" s="23"/>
      <c r="C126" s="23"/>
      <c r="D126" s="23"/>
      <c r="E126" s="23"/>
      <c r="F126" s="23"/>
      <c r="G126" s="23"/>
      <c r="H126" s="23"/>
      <c r="I126" s="23"/>
      <c r="J126" s="23"/>
      <c r="K126" s="23"/>
    </row>
    <row r="127" spans="1:11" ht="12.75">
      <c r="A127" s="23"/>
      <c r="B127" s="23"/>
      <c r="C127" s="23"/>
      <c r="D127" s="23"/>
      <c r="E127" s="23"/>
      <c r="F127" s="23"/>
      <c r="G127" s="23"/>
      <c r="H127" s="23"/>
      <c r="I127" s="23"/>
      <c r="J127" s="23"/>
      <c r="K127" s="23"/>
    </row>
    <row r="128" spans="1:11" ht="12.75">
      <c r="A128" s="23"/>
      <c r="B128" s="23"/>
      <c r="C128" s="23"/>
      <c r="D128" s="23"/>
      <c r="E128" s="23"/>
      <c r="F128" s="23"/>
      <c r="G128" s="23"/>
      <c r="H128" s="23"/>
      <c r="I128" s="23"/>
      <c r="J128" s="23"/>
      <c r="K128" s="23"/>
    </row>
    <row r="129" spans="1:11" ht="12.75">
      <c r="A129" s="23"/>
      <c r="B129" s="23"/>
      <c r="C129" s="23"/>
      <c r="D129" s="23"/>
      <c r="E129" s="23"/>
      <c r="F129" s="23"/>
      <c r="G129" s="23"/>
      <c r="H129" s="23"/>
      <c r="I129" s="23"/>
      <c r="J129" s="23"/>
      <c r="K129" s="23"/>
    </row>
    <row r="130" spans="1:11" ht="12.75">
      <c r="A130" s="23"/>
      <c r="B130" s="23"/>
      <c r="C130" s="23"/>
      <c r="D130" s="23"/>
      <c r="E130" s="23"/>
      <c r="F130" s="23"/>
      <c r="G130" s="23"/>
      <c r="H130" s="23"/>
      <c r="I130" s="23"/>
      <c r="J130" s="23"/>
      <c r="K130" s="23"/>
    </row>
    <row r="131" spans="1:11" ht="12.75">
      <c r="A131" s="23"/>
      <c r="B131" s="23"/>
      <c r="C131" s="23"/>
      <c r="D131" s="23"/>
      <c r="E131" s="23"/>
      <c r="F131" s="23"/>
      <c r="G131" s="23"/>
      <c r="H131" s="23"/>
      <c r="I131" s="23"/>
      <c r="J131" s="23"/>
      <c r="K131" s="23"/>
    </row>
    <row r="132" spans="1:11" ht="12.75">
      <c r="A132" s="23"/>
      <c r="B132" s="23"/>
      <c r="C132" s="23"/>
      <c r="D132" s="23"/>
      <c r="E132" s="23"/>
      <c r="F132" s="23"/>
      <c r="G132" s="23"/>
      <c r="H132" s="23"/>
      <c r="I132" s="23"/>
      <c r="J132" s="23"/>
      <c r="K132" s="23"/>
    </row>
    <row r="133" spans="1:11" ht="12.75">
      <c r="A133" s="23"/>
      <c r="B133" s="23"/>
      <c r="C133" s="23"/>
      <c r="D133" s="23"/>
      <c r="E133" s="23"/>
      <c r="F133" s="23"/>
      <c r="G133" s="23"/>
      <c r="H133" s="23"/>
      <c r="I133" s="23"/>
      <c r="J133" s="23"/>
      <c r="K133" s="23"/>
    </row>
    <row r="134" spans="1:11" ht="12.75">
      <c r="A134" s="23"/>
      <c r="B134" s="23"/>
      <c r="C134" s="23"/>
      <c r="D134" s="23"/>
      <c r="E134" s="23"/>
      <c r="F134" s="23"/>
      <c r="G134" s="23"/>
      <c r="H134" s="23"/>
      <c r="I134" s="23"/>
      <c r="J134" s="23"/>
      <c r="K134" s="23"/>
    </row>
    <row r="135" spans="1:11" ht="12.75">
      <c r="A135" s="23"/>
      <c r="B135" s="23"/>
      <c r="C135" s="23"/>
      <c r="D135" s="23"/>
      <c r="E135" s="23"/>
      <c r="F135" s="23"/>
      <c r="G135" s="23"/>
      <c r="H135" s="23"/>
      <c r="I135" s="23"/>
      <c r="J135" s="23"/>
      <c r="K135" s="23"/>
    </row>
    <row r="136" spans="1:11" ht="12.75">
      <c r="A136" s="23"/>
      <c r="B136" s="23"/>
      <c r="C136" s="23"/>
      <c r="D136" s="23"/>
      <c r="E136" s="23"/>
      <c r="F136" s="23"/>
      <c r="G136" s="23"/>
      <c r="H136" s="23"/>
      <c r="I136" s="23"/>
      <c r="J136" s="23"/>
      <c r="K136" s="23"/>
    </row>
    <row r="137" spans="1:11" ht="12.75">
      <c r="A137" s="23"/>
      <c r="B137" s="23"/>
      <c r="C137" s="23"/>
      <c r="D137" s="23"/>
      <c r="E137" s="23"/>
      <c r="F137" s="23"/>
      <c r="G137" s="23"/>
      <c r="H137" s="23"/>
      <c r="I137" s="23"/>
      <c r="J137" s="23"/>
      <c r="K137" s="23"/>
    </row>
    <row r="138" spans="1:11" ht="12.75">
      <c r="A138" s="23"/>
      <c r="B138" s="23"/>
      <c r="C138" s="23"/>
      <c r="D138" s="23"/>
      <c r="E138" s="23"/>
      <c r="F138" s="23"/>
      <c r="G138" s="23"/>
      <c r="H138" s="23"/>
      <c r="I138" s="23"/>
      <c r="J138" s="23"/>
      <c r="K138" s="23"/>
    </row>
    <row r="139" spans="1:11" ht="12.75">
      <c r="A139" s="23"/>
      <c r="B139" s="23"/>
      <c r="C139" s="23"/>
      <c r="D139" s="23"/>
      <c r="E139" s="23"/>
      <c r="F139" s="23"/>
      <c r="G139" s="23"/>
      <c r="H139" s="23"/>
      <c r="I139" s="23"/>
      <c r="J139" s="23"/>
      <c r="K139" s="23"/>
    </row>
    <row r="140" spans="1:11" ht="12.75">
      <c r="A140" s="23"/>
      <c r="B140" s="23"/>
      <c r="C140" s="23"/>
      <c r="D140" s="23"/>
      <c r="E140" s="23"/>
      <c r="F140" s="23"/>
      <c r="G140" s="23"/>
      <c r="H140" s="23"/>
      <c r="I140" s="23"/>
      <c r="J140" s="23"/>
      <c r="K140" s="23"/>
    </row>
    <row r="141" spans="1:11" ht="12.75">
      <c r="A141" s="23"/>
      <c r="B141" s="23"/>
      <c r="C141" s="23"/>
      <c r="D141" s="23"/>
      <c r="E141" s="23"/>
      <c r="F141" s="23"/>
      <c r="G141" s="23"/>
      <c r="H141" s="23"/>
      <c r="I141" s="23"/>
      <c r="J141" s="23"/>
      <c r="K141" s="23"/>
    </row>
    <row r="142" spans="1:11" ht="12.75">
      <c r="A142" s="23"/>
      <c r="B142" s="23"/>
      <c r="C142" s="23"/>
      <c r="D142" s="23"/>
      <c r="E142" s="23"/>
      <c r="F142" s="23"/>
      <c r="G142" s="23"/>
      <c r="H142" s="23"/>
      <c r="I142" s="23"/>
      <c r="J142" s="23"/>
      <c r="K142" s="23"/>
    </row>
    <row r="143" spans="1:11" ht="12.75">
      <c r="A143" s="23"/>
      <c r="B143" s="23"/>
      <c r="C143" s="23"/>
      <c r="D143" s="23"/>
      <c r="E143" s="23"/>
      <c r="F143" s="23"/>
      <c r="G143" s="23"/>
      <c r="H143" s="23"/>
      <c r="I143" s="23"/>
      <c r="J143" s="23"/>
      <c r="K143" s="23"/>
    </row>
    <row r="144" spans="1:11" ht="12.75">
      <c r="A144" s="23"/>
      <c r="B144" s="23"/>
      <c r="C144" s="23"/>
      <c r="D144" s="23"/>
      <c r="E144" s="23"/>
      <c r="F144" s="23"/>
      <c r="G144" s="23"/>
      <c r="H144" s="23"/>
      <c r="I144" s="23"/>
      <c r="J144" s="23"/>
      <c r="K144" s="23"/>
    </row>
    <row r="145" spans="1:11" ht="12.75">
      <c r="A145" s="23"/>
      <c r="B145" s="23"/>
      <c r="C145" s="23"/>
      <c r="D145" s="23"/>
      <c r="E145" s="23"/>
      <c r="F145" s="23"/>
      <c r="G145" s="23"/>
      <c r="H145" s="23"/>
      <c r="I145" s="23"/>
      <c r="J145" s="23"/>
      <c r="K145" s="23"/>
    </row>
    <row r="146" spans="1:11" ht="12.75">
      <c r="A146" s="23"/>
      <c r="B146" s="23"/>
      <c r="C146" s="23"/>
      <c r="D146" s="23"/>
      <c r="E146" s="23"/>
      <c r="F146" s="23"/>
      <c r="G146" s="23"/>
      <c r="H146" s="23"/>
      <c r="I146" s="23"/>
      <c r="J146" s="23"/>
      <c r="K146" s="23"/>
    </row>
    <row r="147" spans="1:11" ht="12.75">
      <c r="A147" s="23"/>
      <c r="B147" s="23"/>
      <c r="C147" s="23"/>
      <c r="D147" s="23"/>
      <c r="E147" s="23"/>
      <c r="F147" s="23"/>
      <c r="G147" s="23"/>
      <c r="H147" s="23"/>
      <c r="I147" s="23"/>
      <c r="J147" s="23"/>
      <c r="K147" s="23"/>
    </row>
    <row r="148" spans="1:11" ht="12.75">
      <c r="A148" s="23"/>
      <c r="B148" s="23"/>
      <c r="C148" s="23"/>
      <c r="D148" s="23"/>
      <c r="E148" s="23"/>
      <c r="F148" s="23"/>
      <c r="G148" s="23"/>
      <c r="H148" s="23"/>
      <c r="I148" s="23"/>
      <c r="J148" s="23"/>
      <c r="K148" s="23"/>
    </row>
    <row r="149" spans="1:11" ht="12.75">
      <c r="A149" s="23"/>
      <c r="B149" s="23"/>
      <c r="C149" s="23"/>
      <c r="D149" s="23"/>
      <c r="E149" s="23"/>
      <c r="F149" s="23"/>
      <c r="G149" s="23"/>
      <c r="H149" s="23"/>
      <c r="I149" s="23"/>
      <c r="J149" s="23"/>
      <c r="K149" s="23"/>
    </row>
    <row r="150" spans="1:11" ht="12.75">
      <c r="A150" s="23"/>
      <c r="B150" s="23"/>
      <c r="C150" s="23"/>
      <c r="D150" s="23"/>
      <c r="E150" s="23"/>
      <c r="F150" s="23"/>
      <c r="G150" s="23"/>
      <c r="H150" s="23"/>
      <c r="I150" s="23"/>
      <c r="J150" s="23"/>
      <c r="K150" s="23"/>
    </row>
    <row r="151" spans="1:11" ht="12.75">
      <c r="A151" s="23"/>
      <c r="B151" s="23"/>
      <c r="C151" s="23"/>
      <c r="D151" s="23"/>
      <c r="E151" s="23"/>
      <c r="F151" s="23"/>
      <c r="G151" s="23"/>
      <c r="H151" s="23"/>
      <c r="I151" s="23"/>
      <c r="J151" s="23"/>
      <c r="K151" s="23"/>
    </row>
    <row r="152" spans="1:11" ht="12.75">
      <c r="A152" s="23"/>
      <c r="B152" s="23"/>
      <c r="C152" s="23"/>
      <c r="D152" s="23"/>
      <c r="E152" s="23"/>
      <c r="F152" s="23"/>
      <c r="G152" s="23"/>
      <c r="H152" s="23"/>
      <c r="I152" s="23"/>
      <c r="J152" s="23"/>
      <c r="K152" s="23"/>
    </row>
    <row r="153" spans="1:11" ht="12.75">
      <c r="A153" s="23"/>
      <c r="B153" s="23"/>
      <c r="C153" s="23"/>
      <c r="D153" s="23"/>
      <c r="E153" s="23"/>
      <c r="F153" s="23"/>
      <c r="G153" s="23"/>
      <c r="H153" s="23"/>
      <c r="I153" s="23"/>
      <c r="J153" s="23"/>
      <c r="K153" s="23"/>
    </row>
    <row r="154" spans="1:11" ht="12.75">
      <c r="A154" s="23"/>
      <c r="B154" s="23"/>
      <c r="C154" s="23"/>
      <c r="D154" s="23"/>
      <c r="E154" s="23"/>
      <c r="F154" s="23"/>
      <c r="G154" s="23"/>
      <c r="H154" s="23"/>
      <c r="I154" s="23"/>
      <c r="J154" s="23"/>
      <c r="K154" s="23"/>
    </row>
    <row r="155" spans="1:11" ht="12.75">
      <c r="A155" s="23"/>
      <c r="B155" s="23"/>
      <c r="C155" s="23"/>
      <c r="D155" s="23"/>
      <c r="E155" s="23"/>
      <c r="F155" s="23"/>
      <c r="G155" s="23"/>
      <c r="H155" s="23"/>
      <c r="I155" s="23"/>
      <c r="J155" s="23"/>
      <c r="K155" s="23"/>
    </row>
    <row r="156" spans="1:11" ht="12.75">
      <c r="A156" s="23"/>
      <c r="B156" s="23"/>
      <c r="C156" s="23"/>
      <c r="D156" s="23"/>
      <c r="E156" s="23"/>
      <c r="F156" s="23"/>
      <c r="G156" s="23"/>
      <c r="H156" s="23"/>
      <c r="I156" s="23"/>
      <c r="J156" s="23"/>
      <c r="K156" s="23"/>
    </row>
    <row r="157" spans="1:11" ht="12.75">
      <c r="A157" s="23"/>
      <c r="B157" s="23"/>
      <c r="C157" s="23"/>
      <c r="D157" s="23"/>
      <c r="E157" s="23"/>
      <c r="F157" s="23"/>
      <c r="G157" s="23"/>
      <c r="H157" s="23"/>
      <c r="I157" s="23"/>
      <c r="J157" s="23"/>
      <c r="K157" s="23"/>
    </row>
    <row r="158" spans="1:11" ht="12.75">
      <c r="A158" s="23"/>
      <c r="B158" s="23"/>
      <c r="C158" s="23"/>
      <c r="D158" s="23"/>
      <c r="E158" s="23"/>
      <c r="F158" s="23"/>
      <c r="G158" s="23"/>
      <c r="H158" s="23"/>
      <c r="I158" s="23"/>
      <c r="J158" s="23"/>
      <c r="K158" s="23"/>
    </row>
    <row r="159" spans="1:11" ht="12.75">
      <c r="A159" s="23"/>
      <c r="B159" s="23"/>
      <c r="C159" s="23"/>
      <c r="D159" s="23"/>
      <c r="E159" s="23"/>
      <c r="F159" s="23"/>
      <c r="G159" s="23"/>
      <c r="H159" s="23"/>
      <c r="I159" s="23"/>
      <c r="J159" s="23"/>
      <c r="K159" s="23"/>
    </row>
    <row r="160" spans="1:11" ht="12.75">
      <c r="A160" s="23"/>
      <c r="B160" s="23"/>
      <c r="C160" s="23"/>
      <c r="D160" s="23"/>
      <c r="E160" s="23"/>
      <c r="F160" s="23"/>
      <c r="G160" s="23"/>
      <c r="H160" s="23"/>
      <c r="I160" s="23"/>
      <c r="J160" s="23"/>
      <c r="K160" s="23"/>
    </row>
    <row r="161" spans="1:11" ht="12.75">
      <c r="A161" s="23"/>
      <c r="B161" s="23"/>
      <c r="C161" s="23"/>
      <c r="D161" s="23"/>
      <c r="E161" s="23"/>
      <c r="F161" s="23"/>
      <c r="G161" s="23"/>
      <c r="H161" s="23"/>
      <c r="I161" s="23"/>
      <c r="J161" s="23"/>
      <c r="K161" s="23"/>
    </row>
    <row r="162" spans="1:11" ht="12.75">
      <c r="A162" s="23"/>
      <c r="B162" s="23"/>
      <c r="C162" s="23"/>
      <c r="D162" s="23"/>
      <c r="E162" s="23"/>
      <c r="F162" s="23"/>
      <c r="G162" s="23"/>
      <c r="H162" s="23"/>
      <c r="I162" s="23"/>
      <c r="J162" s="23"/>
      <c r="K162" s="23"/>
    </row>
    <row r="163" spans="1:11" ht="12.75">
      <c r="A163" s="23"/>
      <c r="B163" s="23"/>
      <c r="C163" s="23"/>
      <c r="D163" s="23"/>
      <c r="E163" s="23"/>
      <c r="F163" s="23"/>
      <c r="G163" s="23"/>
      <c r="H163" s="23"/>
      <c r="I163" s="23"/>
      <c r="J163" s="23"/>
      <c r="K163" s="23"/>
    </row>
    <row r="164" spans="1:11" ht="12.75">
      <c r="A164" s="23"/>
      <c r="B164" s="23"/>
      <c r="C164" s="23"/>
      <c r="D164" s="23"/>
      <c r="E164" s="23"/>
      <c r="F164" s="23"/>
      <c r="G164" s="23"/>
      <c r="H164" s="23"/>
      <c r="I164" s="23"/>
      <c r="J164" s="23"/>
      <c r="K164" s="23"/>
    </row>
    <row r="165" spans="1:11" ht="12.75">
      <c r="A165" s="23"/>
      <c r="B165" s="23"/>
      <c r="C165" s="23"/>
      <c r="D165" s="23"/>
      <c r="E165" s="23"/>
      <c r="F165" s="23"/>
      <c r="G165" s="23"/>
      <c r="H165" s="23"/>
      <c r="I165" s="23"/>
      <c r="J165" s="23"/>
      <c r="K165" s="23"/>
    </row>
    <row r="166" spans="1:11" ht="12.75">
      <c r="A166" s="23"/>
      <c r="B166" s="23"/>
      <c r="C166" s="23"/>
      <c r="D166" s="23"/>
      <c r="E166" s="23"/>
      <c r="F166" s="23"/>
      <c r="G166" s="23"/>
      <c r="H166" s="23"/>
      <c r="I166" s="23"/>
      <c r="J166" s="23"/>
      <c r="K166" s="23"/>
    </row>
    <row r="167" spans="1:11" ht="12.75">
      <c r="A167" s="23"/>
      <c r="B167" s="23"/>
      <c r="C167" s="23"/>
      <c r="D167" s="23"/>
      <c r="E167" s="23"/>
      <c r="F167" s="23"/>
      <c r="G167" s="23"/>
      <c r="H167" s="23"/>
      <c r="I167" s="23"/>
      <c r="J167" s="23"/>
      <c r="K167" s="23"/>
    </row>
    <row r="168" spans="1:11" ht="12.75">
      <c r="A168" s="23"/>
      <c r="B168" s="23"/>
      <c r="C168" s="23"/>
      <c r="D168" s="23"/>
      <c r="E168" s="23"/>
      <c r="F168" s="23"/>
      <c r="G168" s="23"/>
      <c r="H168" s="23"/>
      <c r="I168" s="23"/>
      <c r="J168" s="23"/>
      <c r="K168" s="23"/>
    </row>
    <row r="169" spans="1:11" ht="12.75">
      <c r="A169" s="23"/>
      <c r="B169" s="23"/>
      <c r="C169" s="23"/>
      <c r="D169" s="23"/>
      <c r="E169" s="23"/>
      <c r="F169" s="23"/>
      <c r="G169" s="23"/>
      <c r="H169" s="23"/>
      <c r="I169" s="23"/>
      <c r="J169" s="23"/>
      <c r="K169" s="23"/>
    </row>
    <row r="170" spans="1:11" ht="12.75">
      <c r="A170" s="23"/>
      <c r="B170" s="23"/>
      <c r="C170" s="23"/>
      <c r="D170" s="23"/>
      <c r="E170" s="23"/>
      <c r="F170" s="23"/>
      <c r="G170" s="23"/>
      <c r="H170" s="23"/>
      <c r="I170" s="23"/>
      <c r="J170" s="23"/>
      <c r="K170" s="23"/>
    </row>
    <row r="171" spans="1:11" ht="12.75">
      <c r="A171" s="23"/>
      <c r="B171" s="23"/>
      <c r="C171" s="23"/>
      <c r="D171" s="23"/>
      <c r="E171" s="23"/>
      <c r="F171" s="23"/>
      <c r="G171" s="23"/>
      <c r="H171" s="23"/>
      <c r="I171" s="23"/>
      <c r="J171" s="23"/>
      <c r="K171" s="23"/>
    </row>
    <row r="172" spans="1:11" ht="12.75">
      <c r="A172" s="23"/>
      <c r="B172" s="23"/>
      <c r="C172" s="23"/>
      <c r="D172" s="23"/>
      <c r="E172" s="23"/>
      <c r="F172" s="23"/>
      <c r="G172" s="23"/>
      <c r="H172" s="23"/>
      <c r="I172" s="23"/>
      <c r="J172" s="23"/>
      <c r="K172" s="23"/>
    </row>
    <row r="173" spans="1:11" ht="12.75">
      <c r="A173" s="23"/>
      <c r="B173" s="23"/>
      <c r="C173" s="23"/>
      <c r="D173" s="23"/>
      <c r="E173" s="23"/>
      <c r="F173" s="23"/>
      <c r="G173" s="23"/>
      <c r="H173" s="23"/>
      <c r="I173" s="23"/>
      <c r="J173" s="23"/>
      <c r="K173" s="23"/>
    </row>
    <row r="174" spans="1:11" ht="12.75">
      <c r="A174" s="23"/>
      <c r="B174" s="23"/>
      <c r="C174" s="23"/>
      <c r="D174" s="23"/>
      <c r="E174" s="23"/>
      <c r="F174" s="23"/>
      <c r="G174" s="23"/>
      <c r="H174" s="23"/>
      <c r="I174" s="23"/>
      <c r="J174" s="23"/>
      <c r="K174" s="23"/>
    </row>
    <row r="175" spans="1:11" ht="12.75">
      <c r="A175" s="23"/>
      <c r="B175" s="23"/>
      <c r="C175" s="23"/>
      <c r="D175" s="23"/>
      <c r="E175" s="23"/>
      <c r="F175" s="23"/>
      <c r="G175" s="23"/>
      <c r="H175" s="23"/>
      <c r="I175" s="23"/>
      <c r="J175" s="23"/>
      <c r="K175" s="23"/>
    </row>
    <row r="176" spans="1:11" ht="12.75">
      <c r="A176" s="23"/>
      <c r="B176" s="23"/>
      <c r="C176" s="23"/>
      <c r="D176" s="23"/>
      <c r="E176" s="23"/>
      <c r="F176" s="23"/>
      <c r="G176" s="23"/>
      <c r="H176" s="23"/>
      <c r="I176" s="23"/>
      <c r="J176" s="23"/>
      <c r="K176" s="23"/>
    </row>
    <row r="177" spans="1:11" ht="12.75">
      <c r="A177" s="23"/>
      <c r="B177" s="23"/>
      <c r="C177" s="23"/>
      <c r="D177" s="23"/>
      <c r="E177" s="23"/>
      <c r="F177" s="23"/>
      <c r="G177" s="23"/>
      <c r="H177" s="23"/>
      <c r="I177" s="23"/>
      <c r="J177" s="23"/>
      <c r="K177" s="23"/>
    </row>
    <row r="178" spans="1:11" ht="12.75">
      <c r="A178" s="23"/>
      <c r="B178" s="23"/>
      <c r="C178" s="23"/>
      <c r="D178" s="23"/>
      <c r="E178" s="23"/>
      <c r="F178" s="23"/>
      <c r="G178" s="23"/>
      <c r="H178" s="23"/>
      <c r="I178" s="23"/>
      <c r="J178" s="23"/>
      <c r="K178" s="23"/>
    </row>
    <row r="179" spans="1:11" ht="12.75">
      <c r="A179" s="23"/>
      <c r="B179" s="23"/>
      <c r="C179" s="23"/>
      <c r="D179" s="23"/>
      <c r="E179" s="23"/>
      <c r="F179" s="23"/>
      <c r="G179" s="23"/>
      <c r="H179" s="23"/>
      <c r="I179" s="23"/>
      <c r="J179" s="23"/>
      <c r="K179" s="23"/>
    </row>
    <row r="180" spans="1:11" ht="12.75">
      <c r="A180" s="23"/>
      <c r="B180" s="23"/>
      <c r="C180" s="23"/>
      <c r="D180" s="23"/>
      <c r="E180" s="23"/>
      <c r="F180" s="23"/>
      <c r="G180" s="23"/>
      <c r="H180" s="23"/>
      <c r="I180" s="23"/>
      <c r="J180" s="23"/>
      <c r="K180" s="23"/>
    </row>
    <row r="181" spans="1:11" ht="12.75">
      <c r="A181" s="23"/>
      <c r="B181" s="23"/>
      <c r="C181" s="23"/>
      <c r="D181" s="23"/>
      <c r="E181" s="23"/>
      <c r="F181" s="23"/>
      <c r="G181" s="23"/>
      <c r="H181" s="23"/>
      <c r="I181" s="23"/>
      <c r="J181" s="23"/>
      <c r="K181" s="23"/>
    </row>
    <row r="182" spans="1:11" ht="12.75">
      <c r="A182" s="23"/>
      <c r="B182" s="23"/>
      <c r="C182" s="23"/>
      <c r="D182" s="23"/>
      <c r="E182" s="23"/>
      <c r="F182" s="23"/>
      <c r="G182" s="23"/>
      <c r="H182" s="23"/>
      <c r="I182" s="23"/>
      <c r="J182" s="23"/>
      <c r="K182" s="23"/>
    </row>
    <row r="183" spans="1:11" ht="12.75">
      <c r="A183" s="23"/>
      <c r="B183" s="23"/>
      <c r="C183" s="23"/>
      <c r="D183" s="23"/>
      <c r="E183" s="23"/>
      <c r="F183" s="23"/>
      <c r="G183" s="23"/>
      <c r="H183" s="23"/>
      <c r="I183" s="23"/>
      <c r="J183" s="23"/>
      <c r="K183" s="23"/>
    </row>
    <row r="184" spans="1:11" ht="12.75">
      <c r="A184" s="23"/>
      <c r="B184" s="23"/>
      <c r="C184" s="23"/>
      <c r="D184" s="23"/>
      <c r="E184" s="23"/>
      <c r="F184" s="23"/>
      <c r="G184" s="23"/>
      <c r="H184" s="23"/>
      <c r="I184" s="23"/>
      <c r="J184" s="23"/>
      <c r="K184" s="23"/>
    </row>
    <row r="185" spans="1:11" ht="12.75">
      <c r="A185" s="23"/>
      <c r="B185" s="23"/>
      <c r="C185" s="23"/>
      <c r="D185" s="23"/>
      <c r="E185" s="23"/>
      <c r="F185" s="23"/>
      <c r="G185" s="23"/>
      <c r="H185" s="23"/>
      <c r="I185" s="23"/>
      <c r="J185" s="23"/>
      <c r="K185" s="23"/>
    </row>
    <row r="186" spans="1:11" ht="12.75">
      <c r="A186" s="23"/>
      <c r="B186" s="23"/>
      <c r="C186" s="23"/>
      <c r="D186" s="23"/>
      <c r="E186" s="23"/>
      <c r="F186" s="23"/>
      <c r="G186" s="23"/>
      <c r="H186" s="23"/>
      <c r="I186" s="23"/>
      <c r="J186" s="23"/>
      <c r="K186" s="23"/>
    </row>
    <row r="187" spans="1:11" ht="12.75">
      <c r="A187" s="23"/>
      <c r="B187" s="23"/>
      <c r="C187" s="23"/>
      <c r="D187" s="23"/>
      <c r="E187" s="23"/>
      <c r="F187" s="23"/>
      <c r="G187" s="23"/>
      <c r="H187" s="23"/>
      <c r="I187" s="23"/>
      <c r="J187" s="23"/>
      <c r="K187" s="23"/>
    </row>
    <row r="188" spans="1:11" ht="12.75">
      <c r="A188" s="23"/>
      <c r="B188" s="23"/>
      <c r="C188" s="23"/>
      <c r="D188" s="23"/>
      <c r="E188" s="23"/>
      <c r="F188" s="23"/>
      <c r="G188" s="23"/>
      <c r="H188" s="23"/>
      <c r="I188" s="23"/>
      <c r="J188" s="23"/>
      <c r="K188" s="23"/>
    </row>
    <row r="189" spans="1:11" ht="12.75">
      <c r="A189" s="23"/>
      <c r="B189" s="23"/>
      <c r="C189" s="23"/>
      <c r="D189" s="23"/>
      <c r="E189" s="23"/>
      <c r="F189" s="23"/>
      <c r="G189" s="23"/>
      <c r="H189" s="23"/>
      <c r="I189" s="23"/>
      <c r="J189" s="23"/>
      <c r="K189" s="23"/>
    </row>
    <row r="190" spans="1:11" ht="12.75">
      <c r="A190" s="23"/>
      <c r="B190" s="23"/>
      <c r="C190" s="23"/>
      <c r="D190" s="23"/>
      <c r="E190" s="23"/>
      <c r="F190" s="23"/>
      <c r="G190" s="23"/>
      <c r="H190" s="23"/>
      <c r="I190" s="23"/>
      <c r="J190" s="23"/>
      <c r="K190" s="23"/>
    </row>
    <row r="191" spans="1:11" ht="12.75">
      <c r="A191" s="23"/>
      <c r="B191" s="23"/>
      <c r="C191" s="23"/>
      <c r="D191" s="23"/>
      <c r="E191" s="23"/>
      <c r="F191" s="23"/>
      <c r="G191" s="23"/>
      <c r="H191" s="23"/>
      <c r="I191" s="23"/>
      <c r="J191" s="23"/>
      <c r="K191" s="23"/>
    </row>
    <row r="192" spans="1:11" ht="12.75">
      <c r="A192" s="23"/>
      <c r="B192" s="23"/>
      <c r="C192" s="23"/>
      <c r="D192" s="23"/>
      <c r="E192" s="23"/>
      <c r="F192" s="23"/>
      <c r="G192" s="23"/>
      <c r="H192" s="23"/>
      <c r="I192" s="23"/>
      <c r="J192" s="23"/>
      <c r="K192" s="23"/>
    </row>
    <row r="193" spans="1:11" ht="12.75">
      <c r="A193" s="23"/>
      <c r="B193" s="23"/>
      <c r="C193" s="23"/>
      <c r="D193" s="23"/>
      <c r="E193" s="23"/>
      <c r="F193" s="23"/>
      <c r="G193" s="23"/>
      <c r="H193" s="23"/>
      <c r="I193" s="23"/>
      <c r="J193" s="23"/>
      <c r="K193" s="23"/>
    </row>
    <row r="194" spans="1:11" ht="12.75">
      <c r="A194" s="23"/>
      <c r="B194" s="23"/>
      <c r="C194" s="23"/>
      <c r="D194" s="23"/>
      <c r="E194" s="23"/>
      <c r="F194" s="23"/>
      <c r="G194" s="23"/>
      <c r="H194" s="23"/>
      <c r="I194" s="23"/>
      <c r="J194" s="23"/>
      <c r="K194" s="23"/>
    </row>
    <row r="195" spans="1:11" ht="12.75">
      <c r="A195" s="23"/>
      <c r="B195" s="23"/>
      <c r="C195" s="23"/>
      <c r="D195" s="23"/>
      <c r="E195" s="23"/>
      <c r="F195" s="23"/>
      <c r="G195" s="23"/>
      <c r="H195" s="23"/>
      <c r="I195" s="23"/>
      <c r="J195" s="23"/>
      <c r="K195" s="23"/>
    </row>
    <row r="196" spans="1:11" ht="12.75">
      <c r="A196" s="23"/>
      <c r="B196" s="23"/>
      <c r="C196" s="23"/>
      <c r="D196" s="23"/>
      <c r="E196" s="23"/>
      <c r="F196" s="23"/>
      <c r="G196" s="23"/>
      <c r="H196" s="23"/>
      <c r="I196" s="23"/>
      <c r="J196" s="23"/>
      <c r="K196" s="23"/>
    </row>
    <row r="197" spans="1:11" ht="12.75">
      <c r="A197" s="23"/>
      <c r="B197" s="23"/>
      <c r="C197" s="23"/>
      <c r="D197" s="23"/>
      <c r="E197" s="23"/>
      <c r="F197" s="23"/>
      <c r="G197" s="23"/>
      <c r="H197" s="23"/>
      <c r="I197" s="23"/>
      <c r="J197" s="23"/>
      <c r="K197" s="23"/>
    </row>
    <row r="198" spans="1:11" ht="12.75">
      <c r="A198" s="23"/>
      <c r="B198" s="23"/>
      <c r="C198" s="23"/>
      <c r="D198" s="23"/>
      <c r="E198" s="23"/>
      <c r="F198" s="23"/>
      <c r="G198" s="23"/>
      <c r="H198" s="23"/>
      <c r="I198" s="23"/>
      <c r="J198" s="23"/>
      <c r="K198" s="23"/>
    </row>
    <row r="199" spans="1:11" ht="12.75">
      <c r="A199" s="23"/>
      <c r="B199" s="23"/>
      <c r="C199" s="23"/>
      <c r="D199" s="23"/>
      <c r="E199" s="23"/>
      <c r="F199" s="23"/>
      <c r="G199" s="23"/>
      <c r="H199" s="23"/>
      <c r="I199" s="23"/>
      <c r="J199" s="23"/>
      <c r="K199" s="23"/>
    </row>
    <row r="200" spans="1:11" ht="12.75">
      <c r="A200" s="23"/>
      <c r="B200" s="23"/>
      <c r="C200" s="23"/>
      <c r="D200" s="23"/>
      <c r="E200" s="23"/>
      <c r="F200" s="23"/>
      <c r="G200" s="23"/>
      <c r="H200" s="23"/>
      <c r="I200" s="23"/>
      <c r="J200" s="23"/>
      <c r="K200" s="23"/>
    </row>
    <row r="201" spans="1:11" ht="12.75">
      <c r="A201" s="23"/>
      <c r="B201" s="23"/>
      <c r="C201" s="23"/>
      <c r="D201" s="23"/>
      <c r="E201" s="23"/>
      <c r="F201" s="23"/>
      <c r="G201" s="23"/>
      <c r="H201" s="23"/>
      <c r="I201" s="23"/>
      <c r="J201" s="23"/>
      <c r="K201" s="23"/>
    </row>
    <row r="202" spans="1:11" ht="12.75">
      <c r="A202" s="23"/>
      <c r="B202" s="23"/>
      <c r="C202" s="23"/>
      <c r="D202" s="23"/>
      <c r="E202" s="23"/>
      <c r="F202" s="23"/>
      <c r="G202" s="23"/>
      <c r="H202" s="23"/>
      <c r="I202" s="23"/>
      <c r="J202" s="23"/>
      <c r="K202" s="23"/>
    </row>
    <row r="203" spans="1:11" ht="12.75">
      <c r="A203" s="23"/>
      <c r="B203" s="23"/>
      <c r="C203" s="23"/>
      <c r="D203" s="23"/>
      <c r="E203" s="23"/>
      <c r="F203" s="23"/>
      <c r="G203" s="23"/>
      <c r="H203" s="23"/>
      <c r="I203" s="23"/>
      <c r="J203" s="23"/>
      <c r="K203" s="23"/>
    </row>
    <row r="204" spans="1:11" ht="12.75">
      <c r="A204" s="23"/>
      <c r="B204" s="23"/>
      <c r="C204" s="23"/>
      <c r="D204" s="23"/>
      <c r="E204" s="23"/>
      <c r="F204" s="23"/>
      <c r="G204" s="23"/>
      <c r="H204" s="23"/>
      <c r="I204" s="23"/>
      <c r="J204" s="23"/>
      <c r="K204" s="23"/>
    </row>
    <row r="205" spans="1:11" ht="12.75">
      <c r="A205" s="23"/>
      <c r="B205" s="23"/>
      <c r="C205" s="23"/>
      <c r="D205" s="23"/>
      <c r="E205" s="23"/>
      <c r="F205" s="23"/>
      <c r="G205" s="23"/>
      <c r="H205" s="23"/>
      <c r="I205" s="23"/>
      <c r="J205" s="23"/>
      <c r="K205" s="23"/>
    </row>
    <row r="206" spans="1:11" ht="12.75">
      <c r="A206" s="23"/>
      <c r="B206" s="23"/>
      <c r="C206" s="23"/>
      <c r="D206" s="23"/>
      <c r="E206" s="23"/>
      <c r="F206" s="23"/>
      <c r="G206" s="23"/>
      <c r="H206" s="23"/>
      <c r="I206" s="23"/>
      <c r="J206" s="23"/>
      <c r="K206" s="23"/>
    </row>
    <row r="207" spans="1:11" ht="12.75">
      <c r="A207" s="23"/>
      <c r="B207" s="23"/>
      <c r="C207" s="23"/>
      <c r="D207" s="23"/>
      <c r="E207" s="23"/>
      <c r="F207" s="23"/>
      <c r="G207" s="23"/>
      <c r="H207" s="23"/>
      <c r="I207" s="23"/>
      <c r="J207" s="23"/>
      <c r="K207" s="23"/>
    </row>
    <row r="208" spans="1:11" ht="12.75">
      <c r="A208" s="23"/>
      <c r="B208" s="23"/>
      <c r="C208" s="23"/>
      <c r="D208" s="23"/>
      <c r="E208" s="23"/>
      <c r="F208" s="23"/>
      <c r="G208" s="23"/>
      <c r="H208" s="23"/>
      <c r="I208" s="23"/>
      <c r="J208" s="23"/>
      <c r="K208" s="23"/>
    </row>
    <row r="209" spans="1:11" ht="12.75">
      <c r="A209" s="23"/>
      <c r="B209" s="23"/>
      <c r="C209" s="23"/>
      <c r="D209" s="23"/>
      <c r="E209" s="23"/>
      <c r="F209" s="23"/>
      <c r="G209" s="23"/>
      <c r="H209" s="23"/>
      <c r="I209" s="23"/>
      <c r="J209" s="23"/>
      <c r="K209" s="23"/>
    </row>
    <row r="210" spans="1:11" ht="12.75">
      <c r="A210" s="23"/>
      <c r="B210" s="23"/>
      <c r="C210" s="23"/>
      <c r="D210" s="23"/>
      <c r="E210" s="23"/>
      <c r="F210" s="23"/>
      <c r="G210" s="23"/>
      <c r="H210" s="23"/>
      <c r="I210" s="23"/>
      <c r="J210" s="23"/>
      <c r="K210" s="23"/>
    </row>
    <row r="211" spans="1:11" ht="12.75">
      <c r="A211" s="23"/>
      <c r="B211" s="23"/>
      <c r="C211" s="23"/>
      <c r="D211" s="23"/>
      <c r="E211" s="23"/>
      <c r="F211" s="23"/>
      <c r="G211" s="23"/>
      <c r="H211" s="23"/>
      <c r="I211" s="23"/>
      <c r="J211" s="23"/>
      <c r="K211" s="23"/>
    </row>
    <row r="212" spans="1:11" ht="12.75">
      <c r="A212" s="23"/>
      <c r="B212" s="23"/>
      <c r="C212" s="23"/>
      <c r="D212" s="23"/>
      <c r="E212" s="23"/>
      <c r="F212" s="23"/>
      <c r="G212" s="23"/>
      <c r="H212" s="23"/>
      <c r="I212" s="23"/>
      <c r="J212" s="23"/>
      <c r="K212" s="23"/>
    </row>
    <row r="213" spans="1:11" ht="12.75">
      <c r="A213" s="23"/>
      <c r="B213" s="23"/>
      <c r="C213" s="23"/>
      <c r="D213" s="23"/>
      <c r="E213" s="23"/>
      <c r="F213" s="23"/>
      <c r="G213" s="23"/>
      <c r="H213" s="23"/>
      <c r="I213" s="23"/>
      <c r="J213" s="23"/>
      <c r="K213" s="23"/>
    </row>
    <row r="214" spans="1:11" ht="12.75">
      <c r="A214" s="23"/>
      <c r="B214" s="23"/>
      <c r="C214" s="23"/>
      <c r="D214" s="23"/>
      <c r="E214" s="23"/>
      <c r="F214" s="23"/>
      <c r="G214" s="23"/>
      <c r="H214" s="23"/>
      <c r="I214" s="23"/>
      <c r="J214" s="23"/>
      <c r="K214" s="23"/>
    </row>
    <row r="215" spans="1:11" ht="12.75">
      <c r="A215" s="23"/>
      <c r="B215" s="23"/>
      <c r="C215" s="23"/>
      <c r="D215" s="23"/>
      <c r="E215" s="23"/>
      <c r="F215" s="23"/>
      <c r="G215" s="23"/>
      <c r="H215" s="23"/>
      <c r="I215" s="23"/>
      <c r="J215" s="23"/>
      <c r="K215" s="23"/>
    </row>
    <row r="216" spans="1:11" ht="12.75">
      <c r="A216" s="23"/>
      <c r="B216" s="23"/>
      <c r="C216" s="23"/>
      <c r="D216" s="23"/>
      <c r="E216" s="23"/>
      <c r="F216" s="23"/>
      <c r="G216" s="23"/>
      <c r="H216" s="23"/>
      <c r="I216" s="23"/>
      <c r="J216" s="23"/>
      <c r="K216" s="23"/>
    </row>
    <row r="217" spans="1:11" ht="12.75">
      <c r="A217" s="23"/>
      <c r="B217" s="23"/>
      <c r="C217" s="23"/>
      <c r="D217" s="23"/>
      <c r="E217" s="23"/>
      <c r="F217" s="23"/>
      <c r="G217" s="23"/>
      <c r="H217" s="23"/>
      <c r="I217" s="23"/>
      <c r="J217" s="23"/>
      <c r="K217" s="23"/>
    </row>
    <row r="218" spans="1:11" ht="12.75">
      <c r="A218" s="23"/>
      <c r="B218" s="23"/>
      <c r="C218" s="23"/>
      <c r="D218" s="23"/>
      <c r="E218" s="23"/>
      <c r="F218" s="23"/>
      <c r="G218" s="23"/>
      <c r="H218" s="23"/>
      <c r="I218" s="23"/>
      <c r="J218" s="23"/>
      <c r="K218" s="23"/>
    </row>
    <row r="219" spans="1:11" ht="12.75">
      <c r="A219" s="23"/>
      <c r="B219" s="23"/>
      <c r="C219" s="23"/>
      <c r="D219" s="23"/>
      <c r="E219" s="23"/>
      <c r="F219" s="23"/>
      <c r="G219" s="23"/>
      <c r="H219" s="23"/>
      <c r="I219" s="23"/>
      <c r="J219" s="23"/>
      <c r="K219" s="23"/>
    </row>
    <row r="220" spans="1:11" ht="12.75">
      <c r="A220" s="23"/>
      <c r="B220" s="23"/>
      <c r="C220" s="23"/>
      <c r="D220" s="23"/>
      <c r="E220" s="23"/>
      <c r="F220" s="23"/>
      <c r="G220" s="23"/>
      <c r="H220" s="23"/>
      <c r="I220" s="23"/>
      <c r="J220" s="23"/>
      <c r="K220" s="23"/>
    </row>
    <row r="221" spans="1:11" ht="12.75">
      <c r="A221" s="23"/>
      <c r="B221" s="23"/>
      <c r="C221" s="23"/>
      <c r="D221" s="23"/>
      <c r="E221" s="23"/>
      <c r="F221" s="23"/>
      <c r="G221" s="23"/>
      <c r="H221" s="23"/>
      <c r="I221" s="23"/>
      <c r="J221" s="23"/>
      <c r="K221" s="23"/>
    </row>
    <row r="222" spans="1:11" ht="12.75">
      <c r="A222" s="23"/>
      <c r="B222" s="23"/>
      <c r="C222" s="23"/>
      <c r="D222" s="23"/>
      <c r="E222" s="23"/>
      <c r="F222" s="23"/>
      <c r="G222" s="23"/>
      <c r="H222" s="23"/>
      <c r="I222" s="23"/>
      <c r="J222" s="23"/>
      <c r="K222" s="23"/>
    </row>
    <row r="223" spans="1:11" ht="12.75">
      <c r="A223" s="23"/>
      <c r="B223" s="23"/>
      <c r="C223" s="23"/>
      <c r="D223" s="23"/>
      <c r="E223" s="23"/>
      <c r="F223" s="23"/>
      <c r="G223" s="23"/>
      <c r="H223" s="23"/>
      <c r="I223" s="23"/>
      <c r="J223" s="23"/>
      <c r="K223" s="23"/>
    </row>
    <row r="224" spans="1:11" ht="12.75">
      <c r="A224" s="23"/>
      <c r="B224" s="23"/>
      <c r="C224" s="23"/>
      <c r="D224" s="23"/>
      <c r="E224" s="23"/>
      <c r="F224" s="23"/>
      <c r="G224" s="23"/>
      <c r="H224" s="23"/>
      <c r="I224" s="23"/>
      <c r="J224" s="23"/>
      <c r="K224" s="23"/>
    </row>
    <row r="225" spans="1:11" ht="12.75">
      <c r="A225" s="23"/>
      <c r="B225" s="23"/>
      <c r="C225" s="23"/>
      <c r="D225" s="23"/>
      <c r="E225" s="23"/>
      <c r="F225" s="23"/>
      <c r="G225" s="23"/>
      <c r="H225" s="23"/>
      <c r="I225" s="23"/>
      <c r="J225" s="23"/>
      <c r="K225" s="23"/>
    </row>
    <row r="226" spans="1:11" ht="12.75">
      <c r="A226" s="23"/>
      <c r="B226" s="23"/>
      <c r="C226" s="23"/>
      <c r="D226" s="23"/>
      <c r="E226" s="23"/>
      <c r="F226" s="23"/>
      <c r="G226" s="23"/>
      <c r="H226" s="23"/>
      <c r="I226" s="23"/>
      <c r="J226" s="23"/>
      <c r="K226" s="23"/>
    </row>
    <row r="227" spans="1:11" ht="12.75">
      <c r="A227" s="23"/>
      <c r="B227" s="23"/>
      <c r="C227" s="23"/>
      <c r="D227" s="23"/>
      <c r="E227" s="23"/>
      <c r="F227" s="23"/>
      <c r="G227" s="23"/>
      <c r="H227" s="23"/>
      <c r="I227" s="23"/>
      <c r="J227" s="23"/>
      <c r="K227" s="23"/>
    </row>
    <row r="228" spans="1:11" ht="12.75">
      <c r="A228" s="23"/>
      <c r="B228" s="23"/>
      <c r="C228" s="23"/>
      <c r="D228" s="23"/>
      <c r="E228" s="23"/>
      <c r="F228" s="23"/>
      <c r="G228" s="23"/>
      <c r="H228" s="23"/>
      <c r="I228" s="23"/>
      <c r="J228" s="23"/>
      <c r="K228" s="23"/>
    </row>
    <row r="229" spans="1:11" ht="12.75">
      <c r="A229" s="23"/>
      <c r="B229" s="23"/>
      <c r="C229" s="23"/>
      <c r="D229" s="23"/>
      <c r="E229" s="23"/>
      <c r="F229" s="23"/>
      <c r="G229" s="23"/>
      <c r="H229" s="23"/>
      <c r="I229" s="23"/>
      <c r="J229" s="23"/>
      <c r="K229" s="23"/>
    </row>
    <row r="230" spans="1:11" ht="12.75">
      <c r="A230" s="23"/>
      <c r="B230" s="23"/>
      <c r="C230" s="23"/>
      <c r="D230" s="23"/>
      <c r="E230" s="23"/>
      <c r="F230" s="23"/>
      <c r="G230" s="23"/>
      <c r="H230" s="23"/>
      <c r="I230" s="23"/>
      <c r="J230" s="23"/>
      <c r="K230" s="23"/>
    </row>
    <row r="231" spans="1:11" ht="12.75">
      <c r="A231" s="23"/>
      <c r="B231" s="23"/>
      <c r="C231" s="23"/>
      <c r="D231" s="23"/>
      <c r="E231" s="23"/>
      <c r="F231" s="23"/>
      <c r="G231" s="23"/>
      <c r="H231" s="23"/>
      <c r="I231" s="23"/>
      <c r="J231" s="23"/>
      <c r="K231" s="23"/>
    </row>
    <row r="232" spans="1:11" ht="12.75">
      <c r="A232" s="23"/>
      <c r="B232" s="23"/>
      <c r="C232" s="23"/>
      <c r="D232" s="23"/>
      <c r="E232" s="23"/>
      <c r="F232" s="23"/>
      <c r="G232" s="23"/>
      <c r="H232" s="23"/>
      <c r="I232" s="23"/>
      <c r="J232" s="23"/>
      <c r="K232" s="23"/>
    </row>
    <row r="233" spans="1:11" ht="12.75">
      <c r="A233" s="23"/>
      <c r="B233" s="23"/>
      <c r="C233" s="23"/>
      <c r="D233" s="23"/>
      <c r="E233" s="23"/>
      <c r="F233" s="23"/>
      <c r="G233" s="23"/>
      <c r="H233" s="23"/>
      <c r="I233" s="23"/>
      <c r="J233" s="23"/>
      <c r="K233" s="23"/>
    </row>
    <row r="234" spans="1:11" ht="12.75">
      <c r="A234" s="23"/>
      <c r="B234" s="23"/>
      <c r="C234" s="23"/>
      <c r="D234" s="23"/>
      <c r="E234" s="23"/>
      <c r="F234" s="23"/>
      <c r="G234" s="23"/>
      <c r="H234" s="23"/>
      <c r="I234" s="23"/>
      <c r="J234" s="23"/>
      <c r="K234" s="23"/>
    </row>
    <row r="235" spans="1:11" ht="12.75">
      <c r="A235" s="23"/>
      <c r="B235" s="23"/>
      <c r="C235" s="23"/>
      <c r="D235" s="23"/>
      <c r="E235" s="23"/>
      <c r="F235" s="23"/>
      <c r="G235" s="23"/>
      <c r="H235" s="23"/>
      <c r="I235" s="23"/>
      <c r="J235" s="23"/>
      <c r="K235" s="23"/>
    </row>
    <row r="236" spans="1:11" ht="12.75">
      <c r="A236" s="23"/>
      <c r="B236" s="23"/>
      <c r="C236" s="23"/>
      <c r="D236" s="23"/>
      <c r="E236" s="23"/>
      <c r="F236" s="23"/>
      <c r="G236" s="23"/>
      <c r="H236" s="23"/>
      <c r="I236" s="23"/>
      <c r="J236" s="23"/>
      <c r="K236" s="23"/>
    </row>
    <row r="237" spans="1:11" ht="12.75">
      <c r="A237" s="23"/>
      <c r="B237" s="23"/>
      <c r="C237" s="23"/>
      <c r="D237" s="23"/>
      <c r="E237" s="23"/>
      <c r="F237" s="23"/>
      <c r="G237" s="23"/>
      <c r="H237" s="23"/>
      <c r="I237" s="23"/>
      <c r="J237" s="23"/>
      <c r="K237" s="23"/>
    </row>
    <row r="238" spans="1:11" ht="12.75">
      <c r="A238" s="23"/>
      <c r="B238" s="23"/>
      <c r="C238" s="23"/>
      <c r="D238" s="23"/>
      <c r="E238" s="23"/>
      <c r="F238" s="23"/>
      <c r="G238" s="23"/>
      <c r="H238" s="23"/>
      <c r="I238" s="23"/>
      <c r="J238" s="23"/>
      <c r="K238" s="23"/>
    </row>
    <row r="239" spans="1:11" ht="12.75">
      <c r="A239" s="23"/>
      <c r="B239" s="23"/>
      <c r="C239" s="23"/>
      <c r="D239" s="23"/>
      <c r="E239" s="23"/>
      <c r="F239" s="23"/>
      <c r="G239" s="23"/>
      <c r="H239" s="23"/>
      <c r="I239" s="23"/>
      <c r="J239" s="23"/>
      <c r="K239" s="23"/>
    </row>
    <row r="240" spans="1:11" ht="12.75">
      <c r="A240" s="23"/>
      <c r="B240" s="23"/>
      <c r="C240" s="23"/>
      <c r="D240" s="23"/>
      <c r="E240" s="23"/>
      <c r="F240" s="23"/>
      <c r="G240" s="23"/>
      <c r="H240" s="23"/>
      <c r="I240" s="23"/>
      <c r="J240" s="23"/>
      <c r="K240" s="23"/>
    </row>
    <row r="241" spans="1:11" ht="12.75">
      <c r="A241" s="23"/>
      <c r="B241" s="23"/>
      <c r="C241" s="23"/>
      <c r="D241" s="23"/>
      <c r="E241" s="23"/>
      <c r="F241" s="23"/>
      <c r="G241" s="23"/>
      <c r="H241" s="23"/>
      <c r="I241" s="23"/>
      <c r="J241" s="23"/>
      <c r="K241" s="23"/>
    </row>
    <row r="242" spans="1:11" ht="12.75">
      <c r="A242" s="23"/>
      <c r="B242" s="23"/>
      <c r="C242" s="23"/>
      <c r="D242" s="23"/>
      <c r="E242" s="23"/>
      <c r="F242" s="23"/>
      <c r="G242" s="23"/>
      <c r="H242" s="23"/>
      <c r="I242" s="23"/>
      <c r="J242" s="23"/>
      <c r="K242" s="23"/>
    </row>
    <row r="243" spans="1:11" ht="12.75">
      <c r="A243" s="23"/>
      <c r="B243" s="23"/>
      <c r="C243" s="23"/>
      <c r="D243" s="23"/>
      <c r="E243" s="23"/>
      <c r="F243" s="23"/>
      <c r="G243" s="23"/>
      <c r="H243" s="23"/>
      <c r="I243" s="23"/>
      <c r="J243" s="23"/>
      <c r="K243" s="23"/>
    </row>
    <row r="244" spans="1:11" ht="12.75">
      <c r="A244" s="23"/>
      <c r="B244" s="23"/>
      <c r="C244" s="23"/>
      <c r="D244" s="23"/>
      <c r="E244" s="23"/>
      <c r="F244" s="23"/>
      <c r="G244" s="23"/>
      <c r="H244" s="23"/>
      <c r="I244" s="23"/>
      <c r="J244" s="23"/>
      <c r="K244" s="23"/>
    </row>
    <row r="245" spans="1:11" ht="12.75">
      <c r="A245" s="23"/>
      <c r="B245" s="23"/>
      <c r="C245" s="23"/>
      <c r="D245" s="23"/>
      <c r="E245" s="23"/>
      <c r="F245" s="23"/>
      <c r="G245" s="23"/>
      <c r="H245" s="23"/>
      <c r="I245" s="23"/>
      <c r="J245" s="23"/>
      <c r="K245" s="23"/>
    </row>
  </sheetData>
  <sheetProtection/>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2.75"/>
  <cols>
    <col min="1" max="1" width="6.28125" style="0" customWidth="1"/>
    <col min="2" max="2" width="6.8515625" style="0" customWidth="1"/>
    <col min="4" max="5" width="9.57421875" style="0" customWidth="1"/>
    <col min="6" max="6" width="9.7109375" style="0" customWidth="1"/>
    <col min="7" max="7" width="13.7109375" style="0" customWidth="1"/>
    <col min="8" max="8" width="8.28125" style="0" customWidth="1"/>
    <col min="9" max="9" width="17.421875" style="0" customWidth="1"/>
    <col min="10" max="10" width="7.8515625" style="0" customWidth="1"/>
    <col min="11" max="11" width="8.140625" style="0" customWidth="1"/>
    <col min="12" max="12" width="5.28125" style="0" customWidth="1"/>
  </cols>
  <sheetData>
    <row r="1" ht="12.75">
      <c r="A1" t="s">
        <v>0</v>
      </c>
    </row>
    <row r="2" ht="12.75">
      <c r="A2" t="s">
        <v>115</v>
      </c>
    </row>
    <row r="4" ht="12.75">
      <c r="A4" t="s">
        <v>13</v>
      </c>
    </row>
    <row r="5" ht="12.75">
      <c r="A5" s="1" t="s">
        <v>116</v>
      </c>
    </row>
    <row r="6" ht="12.75">
      <c r="A6" s="1" t="s">
        <v>117</v>
      </c>
    </row>
    <row r="8" ht="13.5" thickBot="1"/>
    <row r="9" spans="10:11" ht="13.5" thickBot="1">
      <c r="J9" s="30" t="s">
        <v>118</v>
      </c>
      <c r="K9" t="s">
        <v>119</v>
      </c>
    </row>
    <row r="10" spans="1:11" ht="12.75">
      <c r="A10" s="30" t="s">
        <v>5</v>
      </c>
      <c r="B10" s="6" t="s">
        <v>6</v>
      </c>
      <c r="C10" s="108" t="s">
        <v>120</v>
      </c>
      <c r="D10" s="30" t="s">
        <v>37</v>
      </c>
      <c r="E10" s="6" t="s">
        <v>8</v>
      </c>
      <c r="F10" s="111" t="s">
        <v>9</v>
      </c>
      <c r="G10" s="116" t="s">
        <v>10</v>
      </c>
      <c r="H10" s="42" t="s">
        <v>121</v>
      </c>
      <c r="I10" s="6" t="s">
        <v>11</v>
      </c>
      <c r="J10" s="31" t="s">
        <v>122</v>
      </c>
      <c r="K10" t="s">
        <v>123</v>
      </c>
    </row>
    <row r="11" spans="1:11" ht="12.75">
      <c r="A11" s="31" t="s">
        <v>12</v>
      </c>
      <c r="B11" s="9" t="s">
        <v>13</v>
      </c>
      <c r="C11" s="109" t="s">
        <v>124</v>
      </c>
      <c r="D11" s="31" t="s">
        <v>125</v>
      </c>
      <c r="E11" s="9" t="s">
        <v>15</v>
      </c>
      <c r="F11" s="43" t="s">
        <v>16</v>
      </c>
      <c r="G11" s="117" t="s">
        <v>17</v>
      </c>
      <c r="H11" s="43" t="s">
        <v>126</v>
      </c>
      <c r="I11" s="9"/>
      <c r="J11" s="31" t="s">
        <v>127</v>
      </c>
      <c r="K11" t="s">
        <v>128</v>
      </c>
    </row>
    <row r="12" spans="1:10" ht="13.5" thickBot="1">
      <c r="A12" s="34" t="s">
        <v>129</v>
      </c>
      <c r="B12" s="15" t="s">
        <v>19</v>
      </c>
      <c r="C12" s="110" t="s">
        <v>130</v>
      </c>
      <c r="D12" s="34" t="s">
        <v>131</v>
      </c>
      <c r="E12" s="15" t="s">
        <v>21</v>
      </c>
      <c r="F12" s="35" t="s">
        <v>22</v>
      </c>
      <c r="G12" s="118" t="s">
        <v>23</v>
      </c>
      <c r="H12" s="35"/>
      <c r="I12" s="15"/>
      <c r="J12" s="129">
        <v>2000</v>
      </c>
    </row>
    <row r="13" spans="1:10" ht="12.75">
      <c r="A13" s="5"/>
      <c r="B13" s="30"/>
      <c r="C13" s="6"/>
      <c r="D13" s="30"/>
      <c r="E13" s="6"/>
      <c r="F13" s="30"/>
      <c r="G13" s="6"/>
      <c r="H13" s="30"/>
      <c r="I13" s="5"/>
      <c r="J13" s="30"/>
    </row>
    <row r="14" spans="1:11" ht="12.75">
      <c r="A14" s="107">
        <v>6</v>
      </c>
      <c r="B14" s="31">
        <v>9.4</v>
      </c>
      <c r="C14" s="104">
        <v>106.36</v>
      </c>
      <c r="D14" s="32">
        <f>(A14+18.19)*1.22</f>
        <v>29.5118</v>
      </c>
      <c r="E14" s="11">
        <f>(D14/32.91)*100/C14*100-100</f>
        <v>-15.687981250562075</v>
      </c>
      <c r="F14" s="112">
        <f>((((E14)*(C14)/100)*(B14)/1000)/($C$20)*100)</f>
        <v>-0.1437107627507051</v>
      </c>
      <c r="G14" s="102">
        <f>(1.5*(A14/10.5)-1.5)</f>
        <v>-0.6428571428571429</v>
      </c>
      <c r="H14" s="44">
        <f>((2.82*(E14+100)/100)*0.1803)-(2.82*0.1803)</f>
        <v>-0.07976491314923284</v>
      </c>
      <c r="I14" s="8" t="s">
        <v>132</v>
      </c>
      <c r="J14" s="31">
        <v>1.5</v>
      </c>
      <c r="K14" s="25">
        <v>10.5</v>
      </c>
    </row>
    <row r="15" spans="1:11" ht="12.75">
      <c r="A15" s="107">
        <v>20</v>
      </c>
      <c r="B15" s="31">
        <v>13.1</v>
      </c>
      <c r="C15" s="104">
        <v>104.79</v>
      </c>
      <c r="D15" s="32">
        <f>(A15+29.67)*1.22</f>
        <v>60.5974</v>
      </c>
      <c r="E15" s="11">
        <f>(D15/81.11)*100/C15*100-100</f>
        <v>-28.70488909787332</v>
      </c>
      <c r="F15" s="112">
        <f>((((E15)*(C15)/100)*(B15)/1000)/($C$20)*100)</f>
        <v>-0.3610464339766951</v>
      </c>
      <c r="G15" s="102">
        <f>(2*(A15/40))-2</f>
        <v>-1</v>
      </c>
      <c r="H15" s="44">
        <f>((3.95*(E15+100)/100)*0.1803)-(3.95*0.1803)</f>
        <v>-0.20443191442168906</v>
      </c>
      <c r="I15" s="8" t="s">
        <v>133</v>
      </c>
      <c r="J15" s="106">
        <v>2</v>
      </c>
      <c r="K15" s="25">
        <v>40</v>
      </c>
    </row>
    <row r="16" spans="1:11" ht="12.75">
      <c r="A16" s="107">
        <v>3</v>
      </c>
      <c r="B16" s="31">
        <v>17.9</v>
      </c>
      <c r="C16" s="104">
        <v>108.67</v>
      </c>
      <c r="D16" s="32">
        <f>(A16+7.92)*1.22/3.03</f>
        <v>4.396831683168317</v>
      </c>
      <c r="E16" s="11">
        <f>(D16/5.77)*100/C16*100-100</f>
        <v>-29.877989359477525</v>
      </c>
      <c r="F16" s="112">
        <f>((((E16)*(C16)/100)*(B16)/1000)/($C$20)*100)</f>
        <v>-0.5325128803017241</v>
      </c>
      <c r="G16" s="102">
        <f>(3*(A16/7.65))-3</f>
        <v>-1.8235294117647058</v>
      </c>
      <c r="H16" s="44">
        <f>((5.37*(E16+100)/100)*0.1803)-(5.37*0.1803)</f>
        <v>-0.28928197955729096</v>
      </c>
      <c r="I16" s="8" t="s">
        <v>134</v>
      </c>
      <c r="J16" s="106">
        <v>3</v>
      </c>
      <c r="K16" s="1">
        <v>7.65</v>
      </c>
    </row>
    <row r="17" spans="1:12" ht="12.75">
      <c r="A17" s="121" t="s">
        <v>13</v>
      </c>
      <c r="B17" s="64">
        <v>26.2</v>
      </c>
      <c r="C17" s="122">
        <v>112.07</v>
      </c>
      <c r="D17" s="123"/>
      <c r="E17" s="124">
        <f>AVERAGE(E15:E16)/2</f>
        <v>-14.645719614337711</v>
      </c>
      <c r="F17" s="125">
        <f>ROUND((((E17)*(C17)/100)*(B17)/1000)/($C$20)*100,2)</f>
        <v>-0.39</v>
      </c>
      <c r="G17" s="126">
        <f>(G16*0.5)+(G15*0.4)+(G14*0.15)</f>
        <v>-1.4081932773109245</v>
      </c>
      <c r="H17" s="127">
        <f>((7.9*(E17+100)/100)*0.1803)-(7.9*0.1803)</f>
        <v>-0.20860923647074214</v>
      </c>
      <c r="I17" s="128" t="s">
        <v>135</v>
      </c>
      <c r="J17" s="130">
        <v>2</v>
      </c>
      <c r="L17">
        <f>SUM(J14:J17)</f>
        <v>8.5</v>
      </c>
    </row>
    <row r="18" spans="1:10" ht="12.75">
      <c r="A18" s="8">
        <v>50</v>
      </c>
      <c r="B18" s="106">
        <v>22</v>
      </c>
      <c r="C18" s="9">
        <v>100.36</v>
      </c>
      <c r="D18" s="115">
        <f>(33000*(A18/100+1)+32361)*1.22</f>
        <v>99870.42</v>
      </c>
      <c r="E18" s="11">
        <f>(D18/119567)*100/C18*100-100</f>
        <v>-16.772875320278075</v>
      </c>
      <c r="F18" s="112">
        <f>ROUND((((E18)*(C18)/100)*(B18)/1000)/($C$20)*100,2)</f>
        <v>-0.34</v>
      </c>
      <c r="G18" s="102">
        <f>(6*(A18/100))-6</f>
        <v>-3</v>
      </c>
      <c r="H18" s="44">
        <f>((6*(E18+100)/100)*0.1803)-(6*0.1803)</f>
        <v>-0.18144896521476817</v>
      </c>
      <c r="I18" s="8" t="s">
        <v>136</v>
      </c>
      <c r="J18" s="106">
        <v>6</v>
      </c>
    </row>
    <row r="19" spans="1:10" ht="13.5" thickBot="1">
      <c r="A19" s="103" t="s">
        <v>13</v>
      </c>
      <c r="B19" s="41">
        <v>23.5</v>
      </c>
      <c r="C19" s="62">
        <v>94.17</v>
      </c>
      <c r="D19" s="47"/>
      <c r="E19" s="105">
        <f>E18</f>
        <v>-16.772875320278075</v>
      </c>
      <c r="F19" s="113">
        <f>ROUND((((E19)*(C19)/100)*(B19)/1000)/($C$20)*100,2)</f>
        <v>-0.34</v>
      </c>
      <c r="G19" s="119" t="s">
        <v>13</v>
      </c>
      <c r="H19" s="44">
        <f>((4.6*(E19+100)/100)*0.1803)-(4.6*0.1803)</f>
        <v>-0.13911087333132233</v>
      </c>
      <c r="I19" s="14" t="s">
        <v>137</v>
      </c>
      <c r="J19" s="34"/>
    </row>
    <row r="20" spans="1:10" ht="13.5" thickBot="1">
      <c r="A20" s="14" t="s">
        <v>40</v>
      </c>
      <c r="B20" s="33">
        <f>SUM(B14:B19)</f>
        <v>112.1</v>
      </c>
      <c r="C20" s="15">
        <v>109.14</v>
      </c>
      <c r="D20" s="34"/>
      <c r="E20" s="16" t="s">
        <v>13</v>
      </c>
      <c r="F20" s="114">
        <f>SUM(F14:F19)</f>
        <v>-2.1072700770291246</v>
      </c>
      <c r="G20" s="120">
        <f>SUM(G14:G19)</f>
        <v>-7.874579831932773</v>
      </c>
      <c r="H20" s="120">
        <f>SUM(H14:H19)</f>
        <v>-1.1026478821450456</v>
      </c>
      <c r="I20" s="14"/>
      <c r="J20" s="33">
        <f>SUM(J14:J19)</f>
        <v>14.5</v>
      </c>
    </row>
    <row r="21" ht="13.5" thickBot="1">
      <c r="G21" s="131">
        <f>SUM(G20,H20)</f>
        <v>-8.977227714077818</v>
      </c>
    </row>
    <row r="22" ht="12.75">
      <c r="A22" t="s">
        <v>138</v>
      </c>
    </row>
    <row r="23" ht="12.75">
      <c r="A23" t="s">
        <v>139</v>
      </c>
    </row>
    <row r="24" spans="1:8" ht="12.75">
      <c r="A24" t="s">
        <v>13</v>
      </c>
      <c r="H24" t="s">
        <v>13</v>
      </c>
    </row>
    <row r="25" spans="4:8" ht="12.75">
      <c r="D25" t="s">
        <v>13</v>
      </c>
      <c r="H25" t="s">
        <v>13</v>
      </c>
    </row>
  </sheetData>
  <sheetProtection/>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T43"/>
  <sheetViews>
    <sheetView zoomScalePageLayoutView="0" workbookViewId="0" topLeftCell="A11">
      <selection activeCell="G33" sqref="G33"/>
    </sheetView>
  </sheetViews>
  <sheetFormatPr defaultColWidth="9.140625" defaultRowHeight="12.75"/>
  <cols>
    <col min="3" max="3" width="6.28125" style="0" customWidth="1"/>
    <col min="4" max="4" width="8.28125" style="0" customWidth="1"/>
    <col min="5" max="5" width="12.140625" style="0" customWidth="1"/>
    <col min="6" max="6" width="10.8515625" style="0" customWidth="1"/>
    <col min="7" max="7" width="11.421875" style="0" customWidth="1"/>
    <col min="8" max="8" width="18.00390625" style="0" customWidth="1"/>
    <col min="9" max="9" width="20.00390625" style="0" customWidth="1"/>
    <col min="10" max="11" width="12.7109375" style="0" customWidth="1"/>
    <col min="12" max="12" width="12.421875" style="0" customWidth="1"/>
    <col min="13" max="13" width="9.421875" style="0" customWidth="1"/>
    <col min="14" max="14" width="6.8515625" style="0" customWidth="1"/>
    <col min="15" max="15" width="7.00390625" style="0" customWidth="1"/>
    <col min="16" max="16" width="6.7109375" style="0" customWidth="1"/>
  </cols>
  <sheetData>
    <row r="1" ht="12.75">
      <c r="C1" t="s">
        <v>1153</v>
      </c>
    </row>
    <row r="2" ht="12.75">
      <c r="C2" t="s">
        <v>1160</v>
      </c>
    </row>
    <row r="4" spans="3:14" ht="18">
      <c r="C4" s="202" t="s">
        <v>2</v>
      </c>
      <c r="D4" s="203"/>
      <c r="E4" s="203"/>
      <c r="F4" s="203"/>
      <c r="G4" s="203"/>
      <c r="H4" s="203"/>
      <c r="I4" s="203"/>
      <c r="N4" s="4"/>
    </row>
    <row r="5" spans="3:15" ht="18">
      <c r="C5" s="202" t="s">
        <v>1154</v>
      </c>
      <c r="D5" s="203"/>
      <c r="E5" s="203"/>
      <c r="F5" s="203"/>
      <c r="G5" s="203"/>
      <c r="H5" s="203"/>
      <c r="I5" s="203"/>
      <c r="M5" t="s">
        <v>24</v>
      </c>
      <c r="O5" t="s">
        <v>13</v>
      </c>
    </row>
    <row r="6" ht="12.75">
      <c r="M6" t="s">
        <v>25</v>
      </c>
    </row>
    <row r="7" spans="3:13" ht="12.75">
      <c r="C7" t="s">
        <v>1161</v>
      </c>
      <c r="M7" t="s">
        <v>27</v>
      </c>
    </row>
    <row r="8" ht="13.5" thickBot="1"/>
    <row r="9" spans="3:17" ht="15.75">
      <c r="C9" s="171" t="s">
        <v>5</v>
      </c>
      <c r="D9" s="199" t="s">
        <v>6</v>
      </c>
      <c r="E9" s="204" t="s">
        <v>7</v>
      </c>
      <c r="F9" s="172" t="s">
        <v>8</v>
      </c>
      <c r="G9" s="207" t="s">
        <v>9</v>
      </c>
      <c r="H9" s="173" t="s">
        <v>10</v>
      </c>
      <c r="I9" s="174" t="s">
        <v>11</v>
      </c>
      <c r="M9" s="116" t="s">
        <v>30</v>
      </c>
      <c r="N9" s="152">
        <v>23</v>
      </c>
      <c r="O9" s="152">
        <v>22</v>
      </c>
      <c r="P9" s="149">
        <v>17</v>
      </c>
      <c r="Q9" s="152">
        <v>12</v>
      </c>
    </row>
    <row r="10" spans="3:17" ht="16.5" thickBot="1">
      <c r="C10" s="175" t="s">
        <v>12</v>
      </c>
      <c r="D10" s="200" t="s">
        <v>13</v>
      </c>
      <c r="E10" s="205" t="s">
        <v>1158</v>
      </c>
      <c r="F10" s="176" t="s">
        <v>15</v>
      </c>
      <c r="G10" s="208" t="s">
        <v>16</v>
      </c>
      <c r="H10" s="177" t="s">
        <v>17</v>
      </c>
      <c r="I10" s="178"/>
      <c r="M10" s="14"/>
      <c r="N10" s="34"/>
      <c r="O10" s="34"/>
      <c r="P10" s="15"/>
      <c r="Q10" s="34"/>
    </row>
    <row r="11" spans="3:20" ht="16.5" thickBot="1">
      <c r="C11" s="179" t="s">
        <v>18</v>
      </c>
      <c r="D11" s="201" t="s">
        <v>19</v>
      </c>
      <c r="E11" s="206" t="s">
        <v>141</v>
      </c>
      <c r="F11" s="180" t="s">
        <v>21</v>
      </c>
      <c r="G11" s="209" t="s">
        <v>22</v>
      </c>
      <c r="H11" s="181" t="s">
        <v>1145</v>
      </c>
      <c r="I11" s="182"/>
      <c r="M11" s="8" t="s">
        <v>33</v>
      </c>
      <c r="N11" s="229">
        <v>18.7</v>
      </c>
      <c r="O11" s="32">
        <v>18.03</v>
      </c>
      <c r="P11" s="13">
        <f>P13-P12</f>
        <v>13.934899999999999</v>
      </c>
      <c r="Q11" s="32">
        <f>Q13-Q12</f>
        <v>9.836400000000012</v>
      </c>
      <c r="S11" t="s">
        <v>13</v>
      </c>
      <c r="T11" t="s">
        <v>13</v>
      </c>
    </row>
    <row r="12" spans="3:17" ht="15.75">
      <c r="C12" s="183">
        <v>22</v>
      </c>
      <c r="D12" s="192">
        <v>420.07</v>
      </c>
      <c r="E12" s="195">
        <v>100</v>
      </c>
      <c r="F12" s="192">
        <f>(100/1.22)*((C12)+100)/100-100</f>
        <v>0</v>
      </c>
      <c r="G12" s="222">
        <f>(((F12)*(E12)/100)*(D12)/1000)/($E$19)*100</f>
        <v>0</v>
      </c>
      <c r="H12" s="219">
        <f>((G32/1.22)*((100+C12)/100)-(G32/1.22))-(G32-G32/1.22)</f>
        <v>0</v>
      </c>
      <c r="I12" s="186" t="s">
        <v>26</v>
      </c>
      <c r="K12">
        <v>5.9</v>
      </c>
      <c r="M12" s="8" t="s">
        <v>35</v>
      </c>
      <c r="N12" s="153">
        <v>81.97</v>
      </c>
      <c r="O12" s="153">
        <v>81.97</v>
      </c>
      <c r="P12" s="150">
        <f>O12</f>
        <v>81.97</v>
      </c>
      <c r="Q12" s="153">
        <f>O12</f>
        <v>81.97</v>
      </c>
    </row>
    <row r="13" spans="3:17" ht="15.75">
      <c r="C13" s="183">
        <v>22</v>
      </c>
      <c r="D13" s="192">
        <v>48.33</v>
      </c>
      <c r="E13" s="195">
        <v>112</v>
      </c>
      <c r="F13" s="192">
        <f>(100/1.22)*((C13)+100)/100-100</f>
        <v>0</v>
      </c>
      <c r="G13" s="222">
        <f aca="true" t="shared" si="0" ref="G13:G18">(((F13)*(E13)/100)*(D13)/1000)/($E$19)*100</f>
        <v>0</v>
      </c>
      <c r="H13" s="219">
        <f>((G33/1.22)*((100+C13)/100)-(G33/1.22))-(G33-G33/1.22)</f>
        <v>0</v>
      </c>
      <c r="I13" s="186" t="s">
        <v>28</v>
      </c>
      <c r="K13">
        <v>123.73</v>
      </c>
      <c r="M13" s="8" t="s">
        <v>37</v>
      </c>
      <c r="N13" s="153">
        <f>$O$12*((N9+100)/100)</f>
        <v>100.8231</v>
      </c>
      <c r="O13" s="153">
        <f>O11+O12</f>
        <v>100</v>
      </c>
      <c r="P13" s="150">
        <f>$O$12*((P9+100)/100)</f>
        <v>95.9049</v>
      </c>
      <c r="Q13" s="153">
        <f>$O$12*((Q9+100)/100)</f>
        <v>91.80640000000001</v>
      </c>
    </row>
    <row r="14" spans="3:17" ht="16.5" thickBot="1">
      <c r="C14" s="183">
        <v>22</v>
      </c>
      <c r="D14" s="192">
        <v>71.24</v>
      </c>
      <c r="E14" s="225">
        <v>106.2</v>
      </c>
      <c r="F14" s="192">
        <f>(100/1.22)*((C14)+100)/100-100</f>
        <v>0</v>
      </c>
      <c r="G14" s="222">
        <f t="shared" si="0"/>
        <v>0</v>
      </c>
      <c r="H14" s="219">
        <f>((G34/1.22)*((100+C14)/100)-(G34/1.22))-(G34-G34/1.22)</f>
        <v>0</v>
      </c>
      <c r="I14" s="186" t="s">
        <v>29</v>
      </c>
      <c r="K14" s="24">
        <f>123.72*K12/1000</f>
        <v>0.729948</v>
      </c>
      <c r="M14" s="151" t="s">
        <v>1138</v>
      </c>
      <c r="N14" s="164">
        <f>N13/O13*100-100</f>
        <v>0.8230999999999824</v>
      </c>
      <c r="O14" s="34"/>
      <c r="P14" s="163">
        <f>P13/O13*100-100</f>
        <v>-4.095100000000002</v>
      </c>
      <c r="Q14" s="164">
        <f>Q13/O13*100-100</f>
        <v>-8.19359999999999</v>
      </c>
    </row>
    <row r="15" spans="2:17" ht="16.5" thickBot="1">
      <c r="B15">
        <v>547.7</v>
      </c>
      <c r="C15" s="184">
        <v>22</v>
      </c>
      <c r="D15" s="196">
        <v>8.06</v>
      </c>
      <c r="E15" s="218">
        <v>115</v>
      </c>
      <c r="F15" s="193">
        <f>(100/1.22)*((C15)+100)/100-100</f>
        <v>0</v>
      </c>
      <c r="G15" s="223">
        <f t="shared" si="0"/>
        <v>0</v>
      </c>
      <c r="H15" s="220">
        <f>((G35/1.22)*((100+C15)/100)-(G35/1.22))-(G35-G35/1.22)</f>
        <v>0</v>
      </c>
      <c r="I15" s="187" t="s">
        <v>31</v>
      </c>
      <c r="K15" s="23">
        <f>K14/106.02*100</f>
        <v>0.6885002829654783</v>
      </c>
      <c r="M15" s="8"/>
      <c r="O15" s="9"/>
      <c r="P15" s="9"/>
      <c r="Q15" s="156">
        <f>Q13/P13*100-100</f>
        <v>-4.273504273504258</v>
      </c>
    </row>
    <row r="16" spans="3:17" ht="16.5" thickBot="1">
      <c r="C16" s="185">
        <v>17</v>
      </c>
      <c r="D16" s="197">
        <v>138.17</v>
      </c>
      <c r="E16" s="226">
        <v>111</v>
      </c>
      <c r="F16" s="192">
        <f>(100/1.17)*((C16)+100)/100-100</f>
        <v>0</v>
      </c>
      <c r="G16" s="222">
        <f t="shared" si="0"/>
        <v>0</v>
      </c>
      <c r="H16" s="221">
        <f>((G36/1.17)*((100+C16)/100)-(G36/1.17))-(G36-G36/1.17)</f>
        <v>0</v>
      </c>
      <c r="I16" s="188" t="s">
        <v>32</v>
      </c>
      <c r="M16" s="8" t="s">
        <v>41</v>
      </c>
      <c r="O16" s="9"/>
      <c r="P16" s="9"/>
      <c r="Q16" s="142" t="s">
        <v>13</v>
      </c>
    </row>
    <row r="17" spans="3:17" ht="16.5" thickBot="1">
      <c r="C17" s="183">
        <v>8</v>
      </c>
      <c r="D17" s="192">
        <v>62.76</v>
      </c>
      <c r="E17" s="195">
        <v>118</v>
      </c>
      <c r="F17" s="192">
        <f>(100/1.08)*((C17)+100)/100-100</f>
        <v>0</v>
      </c>
      <c r="G17" s="222">
        <f t="shared" si="0"/>
        <v>0</v>
      </c>
      <c r="H17" s="219">
        <f>((G37/1.08)*((100+C17)/100)-(G37/1.08))-(G37-G37/1.08)</f>
        <v>0</v>
      </c>
      <c r="I17" s="186" t="s">
        <v>34</v>
      </c>
      <c r="K17" s="230">
        <f>G19-K15</f>
        <v>-0.6885002829654783</v>
      </c>
      <c r="M17" s="154" t="s">
        <v>43</v>
      </c>
      <c r="N17" s="156">
        <v>23</v>
      </c>
      <c r="O17" s="156">
        <v>22</v>
      </c>
      <c r="P17" s="155">
        <v>17</v>
      </c>
      <c r="Q17" s="156">
        <v>10</v>
      </c>
    </row>
    <row r="18" spans="3:17" ht="16.5" thickBot="1">
      <c r="C18" s="183">
        <v>0</v>
      </c>
      <c r="D18" s="192">
        <v>251.36</v>
      </c>
      <c r="E18" s="195">
        <v>108.5</v>
      </c>
      <c r="F18" s="192">
        <f>(100/1)*((C18)+100)/100-100</f>
        <v>0</v>
      </c>
      <c r="G18" s="222">
        <f t="shared" si="0"/>
        <v>0</v>
      </c>
      <c r="H18" s="219">
        <f>((G38/1)*((100+C18)/100)-(G38/1))-(G38-G38/1)</f>
        <v>0</v>
      </c>
      <c r="I18" s="186" t="s">
        <v>36</v>
      </c>
      <c r="M18" s="8" t="s">
        <v>37</v>
      </c>
      <c r="N18" s="153">
        <f>N12+N19</f>
        <v>100.67</v>
      </c>
      <c r="O18" s="153">
        <v>100</v>
      </c>
      <c r="P18" s="150">
        <f>P12+P19</f>
        <v>95.9049</v>
      </c>
      <c r="Q18" s="153">
        <f>Q12+Q19</f>
        <v>91.80640000000001</v>
      </c>
    </row>
    <row r="19" spans="3:17" ht="16.5" thickBot="1">
      <c r="C19" s="189" t="s">
        <v>40</v>
      </c>
      <c r="D19" s="198">
        <f>SUM(D12:D18)</f>
        <v>999.9899999999999</v>
      </c>
      <c r="E19" s="227">
        <v>105.7</v>
      </c>
      <c r="F19" s="194" t="s">
        <v>13</v>
      </c>
      <c r="G19" s="224">
        <f>SUM(G12:G18)</f>
        <v>0</v>
      </c>
      <c r="H19" s="191">
        <f>SUM(H12:H18)</f>
        <v>0</v>
      </c>
      <c r="I19" s="190" t="s">
        <v>70</v>
      </c>
      <c r="M19" s="14" t="s">
        <v>45</v>
      </c>
      <c r="N19" s="33">
        <f>N11</f>
        <v>18.7</v>
      </c>
      <c r="O19" s="33">
        <f>O11</f>
        <v>18.03</v>
      </c>
      <c r="P19" s="16">
        <f>P11</f>
        <v>13.934899999999999</v>
      </c>
      <c r="Q19" s="33">
        <f>Q11</f>
        <v>9.836400000000012</v>
      </c>
    </row>
    <row r="20" spans="6:11" ht="12.75">
      <c r="F20" t="s">
        <v>13</v>
      </c>
      <c r="J20" s="1" t="s">
        <v>13</v>
      </c>
      <c r="K20" s="1"/>
    </row>
    <row r="21" spans="3:11" ht="12.75">
      <c r="C21" s="4" t="s">
        <v>42</v>
      </c>
      <c r="I21" s="3">
        <f>(((C12)*(D12)+(C13)*(D13)+(C14)*(D14)+(C15)*(D15)+(C16)*(D16)+(C17)*(D17)+(C18)*(D18))/1000)</f>
        <v>14.900369999999999</v>
      </c>
      <c r="J21" s="1" t="s">
        <v>13</v>
      </c>
      <c r="K21" s="1"/>
    </row>
    <row r="22" spans="3:9" ht="12.75">
      <c r="C22" s="4" t="s">
        <v>44</v>
      </c>
      <c r="I22" s="3">
        <f>(((C12)*(D12)+(C13)*(D13)+(C14)*(D14)+(C15)*(D15)+(C16)*(D16)+(C17)*(D17))/748.6)</f>
        <v>19.90431472081218</v>
      </c>
    </row>
    <row r="24" spans="3:9" ht="12.75">
      <c r="C24" t="s">
        <v>1163</v>
      </c>
      <c r="E24" s="9"/>
      <c r="F24" s="54"/>
      <c r="H24" s="13"/>
      <c r="I24" s="11"/>
    </row>
    <row r="25" spans="3:15" ht="12.75">
      <c r="C25" t="s">
        <v>1155</v>
      </c>
      <c r="L25" s="26"/>
      <c r="M25" s="23"/>
      <c r="N25" s="23"/>
      <c r="O25" s="23"/>
    </row>
    <row r="26" ht="12.75">
      <c r="C26" t="s">
        <v>1157</v>
      </c>
    </row>
    <row r="27" ht="12.75">
      <c r="C27" t="s">
        <v>1146</v>
      </c>
    </row>
    <row r="28" ht="12.75">
      <c r="C28" t="s">
        <v>1152</v>
      </c>
    </row>
    <row r="29" ht="12.75">
      <c r="C29" t="s">
        <v>1151</v>
      </c>
    </row>
    <row r="30" ht="12.75">
      <c r="E30" s="9"/>
    </row>
    <row r="31" spans="5:9" ht="12.75">
      <c r="E31" s="9"/>
      <c r="F31" s="162" t="s">
        <v>1162</v>
      </c>
      <c r="G31" s="139"/>
      <c r="H31" s="158" t="s">
        <v>1145</v>
      </c>
      <c r="I31" s="9"/>
    </row>
    <row r="32" spans="5:12" ht="12.75">
      <c r="E32" s="231">
        <f>G32/$G$39*1000</f>
        <v>402.1261053391504</v>
      </c>
      <c r="F32" s="89">
        <f aca="true" t="shared" si="1" ref="F32:F38">E12</f>
        <v>100</v>
      </c>
      <c r="G32" s="160">
        <f>F32/100*H32</f>
        <v>27996.46507661801</v>
      </c>
      <c r="H32" s="210">
        <f>136889.82/5.94573*1.14+1750</f>
        <v>27996.46507661801</v>
      </c>
      <c r="I32" s="157" t="s">
        <v>1139</v>
      </c>
      <c r="K32" s="217" t="s">
        <v>13</v>
      </c>
      <c r="L32" s="217" t="s">
        <v>13</v>
      </c>
    </row>
    <row r="33" spans="5:12" ht="12.75">
      <c r="E33" s="231">
        <f aca="true" t="shared" si="2" ref="E33:E39">G33/$G$39*1000</f>
        <v>50.07099810792243</v>
      </c>
      <c r="F33" s="89">
        <f t="shared" si="1"/>
        <v>112</v>
      </c>
      <c r="G33" s="160">
        <f aca="true" t="shared" si="3" ref="G33:G38">F33/100*H33</f>
        <v>3485.99837530463</v>
      </c>
      <c r="H33" s="211">
        <f>16233.4/5.94573*1.14</f>
        <v>3112.4985493791337</v>
      </c>
      <c r="I33" s="137" t="s">
        <v>1140</v>
      </c>
      <c r="K33" s="217" t="s">
        <v>13</v>
      </c>
      <c r="L33" s="228" t="s">
        <v>13</v>
      </c>
    </row>
    <row r="34" spans="5:12" ht="12.75">
      <c r="E34" s="231">
        <f t="shared" si="2"/>
        <v>82.33827466914275</v>
      </c>
      <c r="F34" s="89">
        <f t="shared" si="1"/>
        <v>106.2</v>
      </c>
      <c r="G34" s="160">
        <f t="shared" si="3"/>
        <v>5732.481927029986</v>
      </c>
      <c r="H34" s="211">
        <f>28152.6/5.94573*1.14</f>
        <v>5397.817257090382</v>
      </c>
      <c r="I34" s="137" t="s">
        <v>1150</v>
      </c>
      <c r="K34" s="217" t="s">
        <v>13</v>
      </c>
      <c r="L34" s="23" t="s">
        <v>13</v>
      </c>
    </row>
    <row r="35" spans="5:9" ht="12.75">
      <c r="E35" s="231">
        <f t="shared" si="2"/>
        <v>7.8183094613148745</v>
      </c>
      <c r="F35" s="90">
        <f t="shared" si="1"/>
        <v>115</v>
      </c>
      <c r="G35" s="160">
        <f t="shared" si="3"/>
        <v>544.3193686897991</v>
      </c>
      <c r="H35" s="212">
        <f>2706/5.94573*1.04</f>
        <v>473.3211901650428</v>
      </c>
      <c r="I35" s="138" t="s">
        <v>1141</v>
      </c>
    </row>
    <row r="36" spans="5:9" ht="12.75">
      <c r="E36" s="231">
        <f t="shared" si="2"/>
        <v>136.9048184296776</v>
      </c>
      <c r="F36" s="89">
        <f t="shared" si="1"/>
        <v>111</v>
      </c>
      <c r="G36" s="168">
        <f t="shared" si="3"/>
        <v>9531.465172485128</v>
      </c>
      <c r="H36" s="211">
        <f>46414.02/5.94573*1.1</f>
        <v>8586.905560797411</v>
      </c>
      <c r="I36" s="137" t="s">
        <v>1149</v>
      </c>
    </row>
    <row r="37" spans="5:10" ht="12.75">
      <c r="E37" s="231">
        <f t="shared" si="2"/>
        <v>68.50880183525446</v>
      </c>
      <c r="F37" s="89">
        <f t="shared" si="1"/>
        <v>118</v>
      </c>
      <c r="G37" s="160">
        <f t="shared" si="3"/>
        <v>4769.658702968348</v>
      </c>
      <c r="H37" s="211">
        <f>21081.7/5.94573*1.14</f>
        <v>4042.083646583346</v>
      </c>
      <c r="I37" s="137" t="s">
        <v>1142</v>
      </c>
      <c r="J37">
        <f>H37/H39*100</f>
        <v>6.1431494255832835</v>
      </c>
    </row>
    <row r="38" spans="5:9" ht="13.5" thickBot="1">
      <c r="E38" s="231">
        <f t="shared" si="2"/>
        <v>252.29728458149393</v>
      </c>
      <c r="F38" s="89">
        <f t="shared" si="1"/>
        <v>108.5</v>
      </c>
      <c r="G38" s="160">
        <f t="shared" si="3"/>
        <v>17565.216540105248</v>
      </c>
      <c r="H38" s="211">
        <f>84435.31/5.94573*1.14</f>
        <v>16189.13966829977</v>
      </c>
      <c r="I38" s="137" t="s">
        <v>1143</v>
      </c>
    </row>
    <row r="39" spans="5:9" ht="13.5" thickBot="1">
      <c r="E39" s="231">
        <f t="shared" si="2"/>
        <v>1000</v>
      </c>
      <c r="F39" s="213">
        <v>105.81</v>
      </c>
      <c r="G39" s="214">
        <f>F39/100*H39</f>
        <v>69621.10816706611</v>
      </c>
      <c r="H39" s="215">
        <f>SUM(H32:H38)</f>
        <v>65798.2309489331</v>
      </c>
      <c r="I39" s="216" t="s">
        <v>1159</v>
      </c>
    </row>
    <row r="40" spans="6:8" ht="12.75">
      <c r="F40" s="54"/>
      <c r="G40" s="159" t="s">
        <v>13</v>
      </c>
      <c r="H40" s="13"/>
    </row>
    <row r="41" spans="6:11" ht="12.75">
      <c r="F41" t="s">
        <v>1156</v>
      </c>
      <c r="G41" s="217">
        <f>G39*I21/100</f>
        <v>10373.802714993068</v>
      </c>
      <c r="J41">
        <f>1/1.23</f>
        <v>0.8130081300813008</v>
      </c>
      <c r="K41">
        <v>18.03</v>
      </c>
    </row>
    <row r="42" spans="10:11" ht="12.75">
      <c r="J42" s="148">
        <f>81.967214*1.22</f>
        <v>100.00000107999999</v>
      </c>
      <c r="K42" s="23">
        <v>18.699187</v>
      </c>
    </row>
    <row r="43" ht="12.75">
      <c r="J43">
        <f>J41-1</f>
        <v>-0.1869918699186992</v>
      </c>
    </row>
  </sheetData>
  <sheetProtection/>
  <printOptions/>
  <pageMargins left="0.7874015748031497" right="0.7874015748031497" top="0.984251968503937" bottom="0.984251968503937" header="0.5118110236220472" footer="0.5118110236220472"/>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dimension ref="A1:AB515"/>
  <sheetViews>
    <sheetView zoomScalePageLayoutView="0" workbookViewId="0" topLeftCell="T330">
      <selection activeCell="AA343" sqref="AA343"/>
    </sheetView>
  </sheetViews>
  <sheetFormatPr defaultColWidth="9.140625" defaultRowHeight="12.75"/>
  <cols>
    <col min="1" max="1" width="5.140625" style="0" customWidth="1"/>
    <col min="2" max="2" width="11.57421875" style="0" customWidth="1"/>
    <col min="3" max="3" width="28.57421875" style="0" customWidth="1"/>
    <col min="5" max="5" width="7.421875" style="0" customWidth="1"/>
    <col min="6" max="6" width="4.28125" style="0" customWidth="1"/>
    <col min="7" max="7" width="9.8515625" style="0" customWidth="1"/>
    <col min="8" max="8" width="6.7109375" style="0" customWidth="1"/>
    <col min="9" max="9" width="4.421875" style="0" customWidth="1"/>
    <col min="10" max="11" width="2.8515625" style="0" customWidth="1"/>
    <col min="12" max="12" width="10.57421875" style="0" customWidth="1"/>
    <col min="13" max="13" width="20.140625" style="0" customWidth="1"/>
    <col min="15" max="15" width="7.28125" style="0" customWidth="1"/>
    <col min="16" max="16" width="5.28125" style="0" customWidth="1"/>
    <col min="17" max="17" width="10.57421875" style="0" customWidth="1"/>
    <col min="18" max="18" width="8.00390625" style="0" customWidth="1"/>
    <col min="19" max="19" width="12.57421875" style="0" customWidth="1"/>
    <col min="20" max="20" width="3.28125" style="0" customWidth="1"/>
    <col min="21" max="21" width="10.7109375" style="0" customWidth="1"/>
    <col min="22" max="22" width="26.28125" style="0" customWidth="1"/>
    <col min="23" max="23" width="7.140625" style="0" customWidth="1"/>
    <col min="24" max="24" width="8.28125" style="0" customWidth="1"/>
    <col min="25" max="25" width="3.8515625" style="0" customWidth="1"/>
    <col min="27" max="27" width="15.28125" style="0" customWidth="1"/>
    <col min="28" max="28" width="9.57421875" style="0" bestFit="1" customWidth="1"/>
  </cols>
  <sheetData>
    <row r="1" spans="1:17" ht="12.75">
      <c r="A1" t="s">
        <v>142</v>
      </c>
      <c r="B1" t="s">
        <v>143</v>
      </c>
      <c r="C1" t="s">
        <v>144</v>
      </c>
      <c r="D1" t="s">
        <v>145</v>
      </c>
      <c r="E1" t="s">
        <v>146</v>
      </c>
      <c r="F1" t="s">
        <v>147</v>
      </c>
      <c r="G1" t="s">
        <v>13</v>
      </c>
      <c r="K1" t="s">
        <v>13</v>
      </c>
      <c r="L1" t="s">
        <v>143</v>
      </c>
      <c r="M1" t="s">
        <v>144</v>
      </c>
      <c r="N1" t="s">
        <v>145</v>
      </c>
      <c r="O1" t="s">
        <v>146</v>
      </c>
      <c r="P1" t="s">
        <v>147</v>
      </c>
      <c r="Q1" t="s">
        <v>13</v>
      </c>
    </row>
    <row r="2" spans="1:15" ht="12.75">
      <c r="A2">
        <v>0</v>
      </c>
      <c r="B2">
        <v>0</v>
      </c>
      <c r="C2" t="s">
        <v>148</v>
      </c>
      <c r="D2">
        <v>335912.67</v>
      </c>
      <c r="E2">
        <v>1000</v>
      </c>
      <c r="K2">
        <v>0</v>
      </c>
      <c r="L2">
        <v>0</v>
      </c>
      <c r="M2" t="s">
        <v>148</v>
      </c>
      <c r="N2">
        <v>335912.67</v>
      </c>
      <c r="O2">
        <v>1000</v>
      </c>
    </row>
    <row r="3" spans="1:16" ht="12.75">
      <c r="A3">
        <v>6</v>
      </c>
      <c r="B3" t="s">
        <v>149</v>
      </c>
      <c r="C3" t="s">
        <v>150</v>
      </c>
      <c r="D3">
        <v>64.42</v>
      </c>
      <c r="E3">
        <v>0.19</v>
      </c>
      <c r="F3">
        <v>17</v>
      </c>
      <c r="K3">
        <v>6</v>
      </c>
      <c r="L3" t="s">
        <v>149</v>
      </c>
      <c r="M3" t="s">
        <v>150</v>
      </c>
      <c r="N3">
        <v>64.42</v>
      </c>
      <c r="O3">
        <v>0.19</v>
      </c>
      <c r="P3">
        <v>17</v>
      </c>
    </row>
    <row r="4" spans="1:16" ht="12.75">
      <c r="A4">
        <v>6</v>
      </c>
      <c r="B4" t="s">
        <v>151</v>
      </c>
      <c r="C4" t="s">
        <v>152</v>
      </c>
      <c r="D4">
        <v>113.58</v>
      </c>
      <c r="E4">
        <v>0.34</v>
      </c>
      <c r="F4">
        <v>17</v>
      </c>
      <c r="K4">
        <v>6</v>
      </c>
      <c r="L4" t="s">
        <v>151</v>
      </c>
      <c r="M4" t="s">
        <v>152</v>
      </c>
      <c r="N4">
        <v>113.58</v>
      </c>
      <c r="O4">
        <v>0.34</v>
      </c>
      <c r="P4">
        <v>17</v>
      </c>
    </row>
    <row r="5" spans="1:16" ht="12.75">
      <c r="A5">
        <v>6</v>
      </c>
      <c r="B5" t="s">
        <v>153</v>
      </c>
      <c r="C5" t="s">
        <v>154</v>
      </c>
      <c r="D5">
        <v>244.01</v>
      </c>
      <c r="E5">
        <v>0.73</v>
      </c>
      <c r="F5">
        <v>17</v>
      </c>
      <c r="K5">
        <v>6</v>
      </c>
      <c r="L5" t="s">
        <v>153</v>
      </c>
      <c r="M5" t="s">
        <v>154</v>
      </c>
      <c r="N5">
        <v>244.01</v>
      </c>
      <c r="O5">
        <v>0.73</v>
      </c>
      <c r="P5">
        <v>17</v>
      </c>
    </row>
    <row r="6" spans="1:16" ht="12.75">
      <c r="A6">
        <v>6</v>
      </c>
      <c r="B6" t="s">
        <v>155</v>
      </c>
      <c r="C6" t="s">
        <v>156</v>
      </c>
      <c r="D6">
        <v>628.66</v>
      </c>
      <c r="E6">
        <v>1.87</v>
      </c>
      <c r="F6">
        <v>17</v>
      </c>
      <c r="K6">
        <v>6</v>
      </c>
      <c r="L6" t="s">
        <v>155</v>
      </c>
      <c r="M6" t="s">
        <v>156</v>
      </c>
      <c r="N6">
        <v>628.66</v>
      </c>
      <c r="O6">
        <v>1.87</v>
      </c>
      <c r="P6">
        <v>17</v>
      </c>
    </row>
    <row r="7" spans="1:16" ht="12.75">
      <c r="A7">
        <v>6</v>
      </c>
      <c r="B7" t="s">
        <v>157</v>
      </c>
      <c r="C7" t="s">
        <v>158</v>
      </c>
      <c r="D7">
        <v>628.66</v>
      </c>
      <c r="E7">
        <v>1.87</v>
      </c>
      <c r="F7">
        <v>17</v>
      </c>
      <c r="K7">
        <v>6</v>
      </c>
      <c r="L7" t="s">
        <v>157</v>
      </c>
      <c r="M7" t="s">
        <v>158</v>
      </c>
      <c r="N7">
        <v>628.66</v>
      </c>
      <c r="O7">
        <v>1.87</v>
      </c>
      <c r="P7">
        <v>17</v>
      </c>
    </row>
    <row r="8" spans="1:16" ht="12.75">
      <c r="A8">
        <v>6</v>
      </c>
      <c r="B8" t="s">
        <v>159</v>
      </c>
      <c r="C8" t="s">
        <v>160</v>
      </c>
      <c r="D8">
        <v>628.66</v>
      </c>
      <c r="E8">
        <v>1.87</v>
      </c>
      <c r="F8">
        <v>17</v>
      </c>
      <c r="K8">
        <v>6</v>
      </c>
      <c r="L8" t="s">
        <v>159</v>
      </c>
      <c r="M8" t="s">
        <v>160</v>
      </c>
      <c r="N8">
        <v>628.66</v>
      </c>
      <c r="O8">
        <v>1.87</v>
      </c>
      <c r="P8">
        <v>17</v>
      </c>
    </row>
    <row r="9" spans="1:16" ht="12.75">
      <c r="A9">
        <v>6</v>
      </c>
      <c r="B9" t="s">
        <v>161</v>
      </c>
      <c r="C9" t="s">
        <v>162</v>
      </c>
      <c r="D9">
        <v>923.64</v>
      </c>
      <c r="E9">
        <v>2.75</v>
      </c>
      <c r="F9">
        <v>17</v>
      </c>
      <c r="K9">
        <v>6</v>
      </c>
      <c r="L9" t="s">
        <v>161</v>
      </c>
      <c r="M9" t="s">
        <v>162</v>
      </c>
      <c r="N9">
        <v>923.64</v>
      </c>
      <c r="O9">
        <v>2.75</v>
      </c>
      <c r="P9">
        <v>17</v>
      </c>
    </row>
    <row r="10" spans="1:16" ht="12.75">
      <c r="A10">
        <v>6</v>
      </c>
      <c r="B10" t="s">
        <v>163</v>
      </c>
      <c r="C10" t="s">
        <v>164</v>
      </c>
      <c r="D10">
        <v>352.72</v>
      </c>
      <c r="E10">
        <v>1.05</v>
      </c>
      <c r="F10">
        <v>17</v>
      </c>
      <c r="K10">
        <v>6</v>
      </c>
      <c r="L10" t="s">
        <v>163</v>
      </c>
      <c r="M10" t="s">
        <v>164</v>
      </c>
      <c r="N10">
        <v>352.72</v>
      </c>
      <c r="O10">
        <v>1.05</v>
      </c>
      <c r="P10">
        <v>17</v>
      </c>
    </row>
    <row r="11" spans="1:16" ht="12.75">
      <c r="A11">
        <v>6</v>
      </c>
      <c r="B11" t="s">
        <v>165</v>
      </c>
      <c r="C11" t="s">
        <v>166</v>
      </c>
      <c r="D11">
        <v>251.66</v>
      </c>
      <c r="E11">
        <v>0.75</v>
      </c>
      <c r="F11">
        <v>17</v>
      </c>
      <c r="K11">
        <v>6</v>
      </c>
      <c r="L11" t="s">
        <v>165</v>
      </c>
      <c r="M11" t="s">
        <v>166</v>
      </c>
      <c r="N11">
        <v>251.66</v>
      </c>
      <c r="O11">
        <v>0.75</v>
      </c>
      <c r="P11">
        <v>17</v>
      </c>
    </row>
    <row r="12" spans="1:16" ht="12.75">
      <c r="A12">
        <v>6</v>
      </c>
      <c r="B12" t="s">
        <v>167</v>
      </c>
      <c r="C12" t="s">
        <v>168</v>
      </c>
      <c r="D12">
        <v>476.7</v>
      </c>
      <c r="E12">
        <v>1.42</v>
      </c>
      <c r="F12">
        <v>17</v>
      </c>
      <c r="K12">
        <v>6</v>
      </c>
      <c r="L12" t="s">
        <v>167</v>
      </c>
      <c r="M12" t="s">
        <v>168</v>
      </c>
      <c r="N12">
        <v>476.7</v>
      </c>
      <c r="O12">
        <v>1.42</v>
      </c>
      <c r="P12">
        <v>17</v>
      </c>
    </row>
    <row r="13" spans="1:16" ht="12.75">
      <c r="A13">
        <v>6</v>
      </c>
      <c r="B13" t="s">
        <v>169</v>
      </c>
      <c r="C13" t="s">
        <v>170</v>
      </c>
      <c r="D13">
        <v>256</v>
      </c>
      <c r="E13">
        <v>0.76</v>
      </c>
      <c r="F13">
        <v>17</v>
      </c>
      <c r="K13">
        <v>6</v>
      </c>
      <c r="L13" t="s">
        <v>169</v>
      </c>
      <c r="M13" t="s">
        <v>170</v>
      </c>
      <c r="N13">
        <v>256</v>
      </c>
      <c r="O13">
        <v>0.76</v>
      </c>
      <c r="P13">
        <v>17</v>
      </c>
    </row>
    <row r="14" spans="1:16" ht="12.75">
      <c r="A14">
        <v>6</v>
      </c>
      <c r="B14" t="s">
        <v>171</v>
      </c>
      <c r="C14" t="s">
        <v>172</v>
      </c>
      <c r="D14">
        <v>288.74</v>
      </c>
      <c r="E14">
        <v>0.86</v>
      </c>
      <c r="F14">
        <v>17</v>
      </c>
      <c r="K14">
        <v>6</v>
      </c>
      <c r="L14" t="s">
        <v>171</v>
      </c>
      <c r="M14" t="s">
        <v>172</v>
      </c>
      <c r="N14">
        <v>288.74</v>
      </c>
      <c r="O14">
        <v>0.86</v>
      </c>
      <c r="P14">
        <v>17</v>
      </c>
    </row>
    <row r="15" spans="1:16" ht="12.75">
      <c r="A15">
        <v>6</v>
      </c>
      <c r="B15" t="s">
        <v>173</v>
      </c>
      <c r="C15" t="s">
        <v>174</v>
      </c>
      <c r="D15">
        <v>146.02</v>
      </c>
      <c r="E15">
        <v>0.43</v>
      </c>
      <c r="F15">
        <v>17</v>
      </c>
      <c r="K15">
        <v>6</v>
      </c>
      <c r="L15" t="s">
        <v>173</v>
      </c>
      <c r="M15" t="s">
        <v>174</v>
      </c>
      <c r="N15">
        <v>146.02</v>
      </c>
      <c r="O15">
        <v>0.43</v>
      </c>
      <c r="P15">
        <v>17</v>
      </c>
    </row>
    <row r="16" spans="1:16" ht="12.75">
      <c r="A16">
        <v>6</v>
      </c>
      <c r="B16" t="s">
        <v>175</v>
      </c>
      <c r="C16" t="s">
        <v>176</v>
      </c>
      <c r="D16">
        <v>237.55</v>
      </c>
      <c r="E16">
        <v>0.71</v>
      </c>
      <c r="F16">
        <v>17</v>
      </c>
      <c r="K16">
        <v>6</v>
      </c>
      <c r="L16" t="s">
        <v>175</v>
      </c>
      <c r="M16" t="s">
        <v>176</v>
      </c>
      <c r="N16">
        <v>237.55</v>
      </c>
      <c r="O16">
        <v>0.71</v>
      </c>
      <c r="P16">
        <v>17</v>
      </c>
    </row>
    <row r="17" spans="1:16" ht="12.75">
      <c r="A17">
        <v>6</v>
      </c>
      <c r="B17" t="s">
        <v>177</v>
      </c>
      <c r="C17" t="s">
        <v>178</v>
      </c>
      <c r="D17">
        <v>638.77</v>
      </c>
      <c r="E17">
        <v>1.9</v>
      </c>
      <c r="F17">
        <v>17</v>
      </c>
      <c r="K17">
        <v>6</v>
      </c>
      <c r="L17" t="s">
        <v>177</v>
      </c>
      <c r="M17" t="s">
        <v>178</v>
      </c>
      <c r="N17">
        <v>638.77</v>
      </c>
      <c r="O17">
        <v>1.9</v>
      </c>
      <c r="P17">
        <v>17</v>
      </c>
    </row>
    <row r="18" spans="1:16" ht="12.75">
      <c r="A18">
        <v>6</v>
      </c>
      <c r="B18" t="s">
        <v>179</v>
      </c>
      <c r="C18" t="s">
        <v>180</v>
      </c>
      <c r="D18">
        <v>155</v>
      </c>
      <c r="E18">
        <v>0.46</v>
      </c>
      <c r="F18">
        <v>17</v>
      </c>
      <c r="K18">
        <v>6</v>
      </c>
      <c r="L18" t="s">
        <v>179</v>
      </c>
      <c r="M18" t="s">
        <v>180</v>
      </c>
      <c r="N18">
        <v>155</v>
      </c>
      <c r="O18">
        <v>0.46</v>
      </c>
      <c r="P18">
        <v>17</v>
      </c>
    </row>
    <row r="19" spans="1:16" ht="12.75">
      <c r="A19">
        <v>6</v>
      </c>
      <c r="B19" t="s">
        <v>181</v>
      </c>
      <c r="C19" t="s">
        <v>182</v>
      </c>
      <c r="D19">
        <v>342.09</v>
      </c>
      <c r="E19">
        <v>1.02</v>
      </c>
      <c r="F19">
        <v>17</v>
      </c>
      <c r="K19">
        <v>6</v>
      </c>
      <c r="L19" t="s">
        <v>181</v>
      </c>
      <c r="M19" t="s">
        <v>182</v>
      </c>
      <c r="N19">
        <v>342.09</v>
      </c>
      <c r="O19">
        <v>1.02</v>
      </c>
      <c r="P19">
        <v>17</v>
      </c>
    </row>
    <row r="20" spans="1:16" ht="12.75">
      <c r="A20">
        <v>6</v>
      </c>
      <c r="B20" t="s">
        <v>183</v>
      </c>
      <c r="C20" t="s">
        <v>184</v>
      </c>
      <c r="D20">
        <v>149.14</v>
      </c>
      <c r="E20">
        <v>0.44</v>
      </c>
      <c r="F20">
        <v>17</v>
      </c>
      <c r="K20">
        <v>6</v>
      </c>
      <c r="L20" t="s">
        <v>183</v>
      </c>
      <c r="M20" t="s">
        <v>184</v>
      </c>
      <c r="N20">
        <v>149.14</v>
      </c>
      <c r="O20">
        <v>0.44</v>
      </c>
      <c r="P20">
        <v>17</v>
      </c>
    </row>
    <row r="21" spans="1:16" ht="12.75">
      <c r="A21">
        <v>6</v>
      </c>
      <c r="B21" t="s">
        <v>185</v>
      </c>
      <c r="C21" t="s">
        <v>186</v>
      </c>
      <c r="D21">
        <v>175.63</v>
      </c>
      <c r="E21">
        <v>0.52</v>
      </c>
      <c r="F21">
        <v>17</v>
      </c>
      <c r="K21">
        <v>6</v>
      </c>
      <c r="L21" t="s">
        <v>185</v>
      </c>
      <c r="M21" t="s">
        <v>186</v>
      </c>
      <c r="N21">
        <v>175.63</v>
      </c>
      <c r="O21">
        <v>0.52</v>
      </c>
      <c r="P21">
        <v>17</v>
      </c>
    </row>
    <row r="22" spans="1:16" ht="12.75">
      <c r="A22">
        <v>6</v>
      </c>
      <c r="B22" t="s">
        <v>187</v>
      </c>
      <c r="C22" t="s">
        <v>188</v>
      </c>
      <c r="D22">
        <v>143.75</v>
      </c>
      <c r="E22">
        <v>0.43</v>
      </c>
      <c r="F22">
        <v>17</v>
      </c>
      <c r="K22">
        <v>6</v>
      </c>
      <c r="L22" t="s">
        <v>187</v>
      </c>
      <c r="M22" t="s">
        <v>188</v>
      </c>
      <c r="N22">
        <v>143.75</v>
      </c>
      <c r="O22">
        <v>0.43</v>
      </c>
      <c r="P22">
        <v>17</v>
      </c>
    </row>
    <row r="23" spans="1:16" ht="12.75">
      <c r="A23">
        <v>6</v>
      </c>
      <c r="B23" t="s">
        <v>189</v>
      </c>
      <c r="C23" t="s">
        <v>190</v>
      </c>
      <c r="D23">
        <v>78.37</v>
      </c>
      <c r="E23">
        <v>0.23</v>
      </c>
      <c r="F23">
        <v>17</v>
      </c>
      <c r="K23">
        <v>6</v>
      </c>
      <c r="L23" t="s">
        <v>189</v>
      </c>
      <c r="M23" t="s">
        <v>190</v>
      </c>
      <c r="N23">
        <v>78.37</v>
      </c>
      <c r="O23">
        <v>0.23</v>
      </c>
      <c r="P23">
        <v>17</v>
      </c>
    </row>
    <row r="24" spans="1:16" ht="12.75">
      <c r="A24">
        <v>6</v>
      </c>
      <c r="B24" t="s">
        <v>191</v>
      </c>
      <c r="C24" t="s">
        <v>192</v>
      </c>
      <c r="D24">
        <v>118.63</v>
      </c>
      <c r="E24">
        <v>0.35</v>
      </c>
      <c r="F24">
        <v>17</v>
      </c>
      <c r="K24">
        <v>6</v>
      </c>
      <c r="L24" t="s">
        <v>191</v>
      </c>
      <c r="M24" t="s">
        <v>192</v>
      </c>
      <c r="N24">
        <v>118.63</v>
      </c>
      <c r="O24">
        <v>0.35</v>
      </c>
      <c r="P24">
        <v>17</v>
      </c>
    </row>
    <row r="25" spans="1:16" ht="12.75">
      <c r="A25">
        <v>6</v>
      </c>
      <c r="B25" t="s">
        <v>193</v>
      </c>
      <c r="C25" t="s">
        <v>194</v>
      </c>
      <c r="D25">
        <v>118.63</v>
      </c>
      <c r="E25">
        <v>0.35</v>
      </c>
      <c r="F25">
        <v>17</v>
      </c>
      <c r="K25">
        <v>6</v>
      </c>
      <c r="L25" t="s">
        <v>193</v>
      </c>
      <c r="M25" t="s">
        <v>194</v>
      </c>
      <c r="N25">
        <v>118.63</v>
      </c>
      <c r="O25">
        <v>0.35</v>
      </c>
      <c r="P25">
        <v>17</v>
      </c>
    </row>
    <row r="26" spans="1:16" ht="12.75">
      <c r="A26">
        <v>6</v>
      </c>
      <c r="B26" t="s">
        <v>195</v>
      </c>
      <c r="C26" t="s">
        <v>196</v>
      </c>
      <c r="D26">
        <v>150.91</v>
      </c>
      <c r="E26">
        <v>0.45</v>
      </c>
      <c r="F26">
        <v>17</v>
      </c>
      <c r="K26">
        <v>6</v>
      </c>
      <c r="L26" t="s">
        <v>195</v>
      </c>
      <c r="M26" t="s">
        <v>196</v>
      </c>
      <c r="N26">
        <v>150.91</v>
      </c>
      <c r="O26">
        <v>0.45</v>
      </c>
      <c r="P26">
        <v>17</v>
      </c>
    </row>
    <row r="27" spans="1:16" ht="12.75">
      <c r="A27">
        <v>6</v>
      </c>
      <c r="B27" t="s">
        <v>197</v>
      </c>
      <c r="C27" t="s">
        <v>198</v>
      </c>
      <c r="D27">
        <v>34.49</v>
      </c>
      <c r="E27">
        <v>0.1</v>
      </c>
      <c r="F27">
        <v>17</v>
      </c>
      <c r="K27">
        <v>6</v>
      </c>
      <c r="L27" t="s">
        <v>197</v>
      </c>
      <c r="M27" t="s">
        <v>198</v>
      </c>
      <c r="N27">
        <v>34.49</v>
      </c>
      <c r="O27">
        <v>0.1</v>
      </c>
      <c r="P27">
        <v>17</v>
      </c>
    </row>
    <row r="28" spans="1:16" ht="12.75">
      <c r="A28">
        <v>6</v>
      </c>
      <c r="B28" t="s">
        <v>199</v>
      </c>
      <c r="C28" t="s">
        <v>200</v>
      </c>
      <c r="D28">
        <v>56.02</v>
      </c>
      <c r="E28">
        <v>0.17</v>
      </c>
      <c r="F28">
        <v>17</v>
      </c>
      <c r="K28">
        <v>6</v>
      </c>
      <c r="L28" t="s">
        <v>199</v>
      </c>
      <c r="M28" t="s">
        <v>200</v>
      </c>
      <c r="N28">
        <v>56.02</v>
      </c>
      <c r="O28">
        <v>0.17</v>
      </c>
      <c r="P28">
        <v>17</v>
      </c>
    </row>
    <row r="29" spans="1:16" ht="12.75">
      <c r="A29">
        <v>6</v>
      </c>
      <c r="B29" t="s">
        <v>201</v>
      </c>
      <c r="C29" t="s">
        <v>202</v>
      </c>
      <c r="D29">
        <v>263.62</v>
      </c>
      <c r="E29">
        <v>0.78</v>
      </c>
      <c r="F29">
        <v>17</v>
      </c>
      <c r="K29">
        <v>6</v>
      </c>
      <c r="L29" t="s">
        <v>201</v>
      </c>
      <c r="M29" t="s">
        <v>202</v>
      </c>
      <c r="N29">
        <v>263.62</v>
      </c>
      <c r="O29">
        <v>0.78</v>
      </c>
      <c r="P29">
        <v>17</v>
      </c>
    </row>
    <row r="30" spans="1:16" ht="12.75">
      <c r="A30">
        <v>6</v>
      </c>
      <c r="B30" t="s">
        <v>203</v>
      </c>
      <c r="C30" t="s">
        <v>204</v>
      </c>
      <c r="D30">
        <v>106.08</v>
      </c>
      <c r="E30">
        <v>0.32</v>
      </c>
      <c r="F30">
        <v>17</v>
      </c>
      <c r="K30">
        <v>6</v>
      </c>
      <c r="L30" t="s">
        <v>203</v>
      </c>
      <c r="M30" t="s">
        <v>204</v>
      </c>
      <c r="N30">
        <v>106.08</v>
      </c>
      <c r="O30">
        <v>0.32</v>
      </c>
      <c r="P30">
        <v>17</v>
      </c>
    </row>
    <row r="31" spans="1:16" ht="12.75">
      <c r="A31">
        <v>6</v>
      </c>
      <c r="B31" t="s">
        <v>205</v>
      </c>
      <c r="C31" t="s">
        <v>206</v>
      </c>
      <c r="D31">
        <v>77.22</v>
      </c>
      <c r="E31">
        <v>0.23</v>
      </c>
      <c r="F31">
        <v>17</v>
      </c>
      <c r="K31">
        <v>6</v>
      </c>
      <c r="L31" t="s">
        <v>205</v>
      </c>
      <c r="M31" t="s">
        <v>206</v>
      </c>
      <c r="N31">
        <v>77.22</v>
      </c>
      <c r="O31">
        <v>0.23</v>
      </c>
      <c r="P31">
        <v>17</v>
      </c>
    </row>
    <row r="32" spans="1:16" ht="12.75">
      <c r="A32">
        <v>6</v>
      </c>
      <c r="B32" t="s">
        <v>207</v>
      </c>
      <c r="C32" t="s">
        <v>208</v>
      </c>
      <c r="D32">
        <v>139.67</v>
      </c>
      <c r="E32">
        <v>0.42</v>
      </c>
      <c r="F32">
        <v>17</v>
      </c>
      <c r="K32">
        <v>6</v>
      </c>
      <c r="L32" t="s">
        <v>207</v>
      </c>
      <c r="M32" t="s">
        <v>208</v>
      </c>
      <c r="N32">
        <v>139.67</v>
      </c>
      <c r="O32">
        <v>0.42</v>
      </c>
      <c r="P32">
        <v>17</v>
      </c>
    </row>
    <row r="33" spans="1:16" ht="12.75">
      <c r="A33">
        <v>6</v>
      </c>
      <c r="B33" t="s">
        <v>209</v>
      </c>
      <c r="C33" t="s">
        <v>210</v>
      </c>
      <c r="D33">
        <v>152.24</v>
      </c>
      <c r="E33">
        <v>0.45</v>
      </c>
      <c r="F33">
        <v>17</v>
      </c>
      <c r="K33">
        <v>6</v>
      </c>
      <c r="L33" t="s">
        <v>209</v>
      </c>
      <c r="M33" t="s">
        <v>210</v>
      </c>
      <c r="N33">
        <v>152.24</v>
      </c>
      <c r="O33">
        <v>0.45</v>
      </c>
      <c r="P33">
        <v>17</v>
      </c>
    </row>
    <row r="34" spans="1:16" ht="12.75">
      <c r="A34">
        <v>6</v>
      </c>
      <c r="B34" t="s">
        <v>211</v>
      </c>
      <c r="C34" t="s">
        <v>212</v>
      </c>
      <c r="D34">
        <v>52.15</v>
      </c>
      <c r="E34">
        <v>0.16</v>
      </c>
      <c r="F34">
        <v>17</v>
      </c>
      <c r="K34">
        <v>6</v>
      </c>
      <c r="L34" t="s">
        <v>211</v>
      </c>
      <c r="M34" t="s">
        <v>212</v>
      </c>
      <c r="N34">
        <v>52.15</v>
      </c>
      <c r="O34">
        <v>0.16</v>
      </c>
      <c r="P34">
        <v>17</v>
      </c>
    </row>
    <row r="35" spans="1:16" ht="12.75">
      <c r="A35">
        <v>6</v>
      </c>
      <c r="B35" t="s">
        <v>213</v>
      </c>
      <c r="C35" t="s">
        <v>214</v>
      </c>
      <c r="D35">
        <v>1125.77</v>
      </c>
      <c r="E35">
        <v>3.35</v>
      </c>
      <c r="F35">
        <v>17</v>
      </c>
      <c r="K35">
        <v>6</v>
      </c>
      <c r="L35" t="s">
        <v>213</v>
      </c>
      <c r="M35" t="s">
        <v>214</v>
      </c>
      <c r="N35">
        <v>1125.77</v>
      </c>
      <c r="O35">
        <v>3.35</v>
      </c>
      <c r="P35">
        <v>17</v>
      </c>
    </row>
    <row r="36" spans="1:16" ht="12.75">
      <c r="A36">
        <v>6</v>
      </c>
      <c r="B36" t="s">
        <v>215</v>
      </c>
      <c r="C36" t="s">
        <v>216</v>
      </c>
      <c r="D36">
        <v>88.51</v>
      </c>
      <c r="E36">
        <v>0.26</v>
      </c>
      <c r="F36">
        <v>17</v>
      </c>
      <c r="K36">
        <v>6</v>
      </c>
      <c r="L36" t="s">
        <v>215</v>
      </c>
      <c r="M36" t="s">
        <v>216</v>
      </c>
      <c r="N36">
        <v>88.51</v>
      </c>
      <c r="O36">
        <v>0.26</v>
      </c>
      <c r="P36">
        <v>17</v>
      </c>
    </row>
    <row r="37" spans="1:16" ht="12.75">
      <c r="A37">
        <v>6</v>
      </c>
      <c r="B37" t="s">
        <v>217</v>
      </c>
      <c r="C37" t="s">
        <v>218</v>
      </c>
      <c r="D37">
        <v>107.32</v>
      </c>
      <c r="E37">
        <v>0.32</v>
      </c>
      <c r="F37">
        <v>17</v>
      </c>
      <c r="K37">
        <v>6</v>
      </c>
      <c r="L37" t="s">
        <v>217</v>
      </c>
      <c r="M37" t="s">
        <v>218</v>
      </c>
      <c r="N37">
        <v>107.32</v>
      </c>
      <c r="O37">
        <v>0.32</v>
      </c>
      <c r="P37">
        <v>17</v>
      </c>
    </row>
    <row r="38" spans="1:16" ht="12.75">
      <c r="A38">
        <v>6</v>
      </c>
      <c r="B38" t="s">
        <v>219</v>
      </c>
      <c r="C38" t="s">
        <v>220</v>
      </c>
      <c r="D38">
        <v>518.64</v>
      </c>
      <c r="E38">
        <v>1.54</v>
      </c>
      <c r="F38">
        <v>17</v>
      </c>
      <c r="K38">
        <v>6</v>
      </c>
      <c r="L38" t="s">
        <v>219</v>
      </c>
      <c r="M38" t="s">
        <v>220</v>
      </c>
      <c r="N38">
        <v>518.64</v>
      </c>
      <c r="O38">
        <v>1.54</v>
      </c>
      <c r="P38">
        <v>17</v>
      </c>
    </row>
    <row r="39" spans="1:16" ht="12.75">
      <c r="A39">
        <v>6</v>
      </c>
      <c r="B39" t="s">
        <v>221</v>
      </c>
      <c r="C39" t="s">
        <v>222</v>
      </c>
      <c r="D39">
        <v>276.8</v>
      </c>
      <c r="E39">
        <v>0.82</v>
      </c>
      <c r="F39">
        <v>17</v>
      </c>
      <c r="K39">
        <v>6</v>
      </c>
      <c r="L39" t="s">
        <v>221</v>
      </c>
      <c r="M39" t="s">
        <v>222</v>
      </c>
      <c r="N39">
        <v>276.8</v>
      </c>
      <c r="O39">
        <v>0.82</v>
      </c>
      <c r="P39">
        <v>17</v>
      </c>
    </row>
    <row r="40" spans="1:16" ht="12.75">
      <c r="A40">
        <v>6</v>
      </c>
      <c r="B40" t="s">
        <v>223</v>
      </c>
      <c r="C40" t="s">
        <v>224</v>
      </c>
      <c r="D40">
        <v>284.56</v>
      </c>
      <c r="E40">
        <v>0.85</v>
      </c>
      <c r="F40">
        <v>17</v>
      </c>
      <c r="K40">
        <v>6</v>
      </c>
      <c r="L40" t="s">
        <v>223</v>
      </c>
      <c r="M40" t="s">
        <v>224</v>
      </c>
      <c r="N40">
        <v>284.56</v>
      </c>
      <c r="O40">
        <v>0.85</v>
      </c>
      <c r="P40">
        <v>17</v>
      </c>
    </row>
    <row r="41" spans="1:16" ht="12.75">
      <c r="A41">
        <v>6</v>
      </c>
      <c r="B41" t="s">
        <v>225</v>
      </c>
      <c r="C41" t="s">
        <v>226</v>
      </c>
      <c r="D41">
        <v>227.5</v>
      </c>
      <c r="E41">
        <v>0.68</v>
      </c>
      <c r="F41">
        <v>17</v>
      </c>
      <c r="K41">
        <v>6</v>
      </c>
      <c r="L41" t="s">
        <v>225</v>
      </c>
      <c r="M41" t="s">
        <v>226</v>
      </c>
      <c r="N41">
        <v>227.5</v>
      </c>
      <c r="O41">
        <v>0.68</v>
      </c>
      <c r="P41">
        <v>17</v>
      </c>
    </row>
    <row r="42" spans="1:16" ht="12.75">
      <c r="A42">
        <v>6</v>
      </c>
      <c r="B42" t="s">
        <v>227</v>
      </c>
      <c r="C42" t="s">
        <v>228</v>
      </c>
      <c r="D42">
        <v>304.5</v>
      </c>
      <c r="E42">
        <v>0.91</v>
      </c>
      <c r="F42">
        <v>17</v>
      </c>
      <c r="K42">
        <v>6</v>
      </c>
      <c r="L42" t="s">
        <v>227</v>
      </c>
      <c r="M42" t="s">
        <v>228</v>
      </c>
      <c r="N42">
        <v>304.5</v>
      </c>
      <c r="O42">
        <v>0.91</v>
      </c>
      <c r="P42">
        <v>17</v>
      </c>
    </row>
    <row r="43" spans="1:16" ht="12.75">
      <c r="A43">
        <v>6</v>
      </c>
      <c r="B43" t="s">
        <v>229</v>
      </c>
      <c r="C43" t="s">
        <v>230</v>
      </c>
      <c r="D43">
        <v>443</v>
      </c>
      <c r="E43">
        <v>1.32</v>
      </c>
      <c r="F43">
        <v>17</v>
      </c>
      <c r="K43">
        <v>6</v>
      </c>
      <c r="L43" t="s">
        <v>229</v>
      </c>
      <c r="M43" t="s">
        <v>230</v>
      </c>
      <c r="N43">
        <v>443</v>
      </c>
      <c r="O43">
        <v>1.32</v>
      </c>
      <c r="P43">
        <v>17</v>
      </c>
    </row>
    <row r="44" spans="1:16" ht="12.75">
      <c r="A44">
        <v>6</v>
      </c>
      <c r="B44" t="s">
        <v>231</v>
      </c>
      <c r="C44" t="s">
        <v>232</v>
      </c>
      <c r="D44">
        <v>493.16</v>
      </c>
      <c r="E44">
        <v>1.47</v>
      </c>
      <c r="F44">
        <v>17</v>
      </c>
      <c r="K44">
        <v>6</v>
      </c>
      <c r="L44" t="s">
        <v>231</v>
      </c>
      <c r="M44" t="s">
        <v>232</v>
      </c>
      <c r="N44">
        <v>493.16</v>
      </c>
      <c r="O44">
        <v>1.47</v>
      </c>
      <c r="P44">
        <v>17</v>
      </c>
    </row>
    <row r="45" spans="1:16" ht="12.75">
      <c r="A45">
        <v>6</v>
      </c>
      <c r="B45" t="s">
        <v>233</v>
      </c>
      <c r="C45" t="s">
        <v>234</v>
      </c>
      <c r="D45">
        <v>179.58</v>
      </c>
      <c r="E45">
        <v>0.53</v>
      </c>
      <c r="F45">
        <v>17</v>
      </c>
      <c r="K45">
        <v>6</v>
      </c>
      <c r="L45" t="s">
        <v>233</v>
      </c>
      <c r="M45" t="s">
        <v>234</v>
      </c>
      <c r="N45">
        <v>179.58</v>
      </c>
      <c r="O45">
        <v>0.53</v>
      </c>
      <c r="P45">
        <v>17</v>
      </c>
    </row>
    <row r="46" spans="1:16" ht="12.75">
      <c r="A46">
        <v>6</v>
      </c>
      <c r="B46" t="s">
        <v>235</v>
      </c>
      <c r="C46" t="s">
        <v>236</v>
      </c>
      <c r="D46">
        <v>392.1</v>
      </c>
      <c r="E46">
        <v>1.17</v>
      </c>
      <c r="F46">
        <v>17</v>
      </c>
      <c r="K46">
        <v>6</v>
      </c>
      <c r="L46" t="s">
        <v>235</v>
      </c>
      <c r="M46" t="s">
        <v>236</v>
      </c>
      <c r="N46">
        <v>392.1</v>
      </c>
      <c r="O46">
        <v>1.17</v>
      </c>
      <c r="P46">
        <v>17</v>
      </c>
    </row>
    <row r="47" spans="1:16" ht="12.75">
      <c r="A47">
        <v>6</v>
      </c>
      <c r="B47" t="s">
        <v>237</v>
      </c>
      <c r="C47" t="s">
        <v>238</v>
      </c>
      <c r="D47">
        <v>159.72</v>
      </c>
      <c r="E47">
        <v>0.48</v>
      </c>
      <c r="F47">
        <v>17</v>
      </c>
      <c r="K47">
        <v>6</v>
      </c>
      <c r="L47" t="s">
        <v>237</v>
      </c>
      <c r="M47" t="s">
        <v>238</v>
      </c>
      <c r="N47">
        <v>159.72</v>
      </c>
      <c r="O47">
        <v>0.48</v>
      </c>
      <c r="P47">
        <v>17</v>
      </c>
    </row>
    <row r="48" spans="1:16" ht="12.75">
      <c r="A48">
        <v>6</v>
      </c>
      <c r="B48" t="s">
        <v>239</v>
      </c>
      <c r="C48" t="s">
        <v>240</v>
      </c>
      <c r="D48">
        <v>102.3</v>
      </c>
      <c r="E48">
        <v>0.3</v>
      </c>
      <c r="F48">
        <v>17</v>
      </c>
      <c r="K48">
        <v>6</v>
      </c>
      <c r="L48" t="s">
        <v>239</v>
      </c>
      <c r="M48" t="s">
        <v>240</v>
      </c>
      <c r="N48">
        <v>102.3</v>
      </c>
      <c r="O48">
        <v>0.3</v>
      </c>
      <c r="P48">
        <v>17</v>
      </c>
    </row>
    <row r="49" spans="1:16" ht="12.75">
      <c r="A49">
        <v>6</v>
      </c>
      <c r="B49" t="s">
        <v>241</v>
      </c>
      <c r="C49" t="s">
        <v>242</v>
      </c>
      <c r="D49">
        <v>193.09</v>
      </c>
      <c r="E49">
        <v>0.57</v>
      </c>
      <c r="F49">
        <v>17</v>
      </c>
      <c r="K49">
        <v>6</v>
      </c>
      <c r="L49" t="s">
        <v>241</v>
      </c>
      <c r="M49" t="s">
        <v>242</v>
      </c>
      <c r="N49">
        <v>193.09</v>
      </c>
      <c r="O49">
        <v>0.57</v>
      </c>
      <c r="P49">
        <v>17</v>
      </c>
    </row>
    <row r="50" spans="1:16" ht="12.75">
      <c r="A50">
        <v>6</v>
      </c>
      <c r="B50" t="s">
        <v>243</v>
      </c>
      <c r="C50" t="s">
        <v>244</v>
      </c>
      <c r="D50">
        <v>118.01</v>
      </c>
      <c r="E50">
        <v>0.35</v>
      </c>
      <c r="F50">
        <v>17</v>
      </c>
      <c r="K50">
        <v>6</v>
      </c>
      <c r="L50" t="s">
        <v>243</v>
      </c>
      <c r="M50" t="s">
        <v>244</v>
      </c>
      <c r="N50">
        <v>118.01</v>
      </c>
      <c r="O50">
        <v>0.35</v>
      </c>
      <c r="P50">
        <v>17</v>
      </c>
    </row>
    <row r="51" spans="1:16" ht="12.75">
      <c r="A51">
        <v>6</v>
      </c>
      <c r="B51" t="s">
        <v>245</v>
      </c>
      <c r="C51" t="s">
        <v>246</v>
      </c>
      <c r="D51">
        <v>505.55</v>
      </c>
      <c r="E51">
        <v>1.51</v>
      </c>
      <c r="F51">
        <v>17</v>
      </c>
      <c r="K51">
        <v>6</v>
      </c>
      <c r="L51" t="s">
        <v>245</v>
      </c>
      <c r="M51" t="s">
        <v>246</v>
      </c>
      <c r="N51">
        <v>505.55</v>
      </c>
      <c r="O51">
        <v>1.51</v>
      </c>
      <c r="P51">
        <v>17</v>
      </c>
    </row>
    <row r="52" spans="1:16" ht="12.75">
      <c r="A52">
        <v>6</v>
      </c>
      <c r="B52" t="s">
        <v>247</v>
      </c>
      <c r="C52" t="s">
        <v>248</v>
      </c>
      <c r="D52">
        <v>367.16</v>
      </c>
      <c r="E52">
        <v>1.09</v>
      </c>
      <c r="F52">
        <v>17</v>
      </c>
      <c r="K52">
        <v>6</v>
      </c>
      <c r="L52" t="s">
        <v>247</v>
      </c>
      <c r="M52" t="s">
        <v>248</v>
      </c>
      <c r="N52">
        <v>367.16</v>
      </c>
      <c r="O52">
        <v>1.09</v>
      </c>
      <c r="P52">
        <v>17</v>
      </c>
    </row>
    <row r="53" spans="1:16" ht="12.75">
      <c r="A53">
        <v>6</v>
      </c>
      <c r="B53" t="s">
        <v>249</v>
      </c>
      <c r="C53" t="s">
        <v>250</v>
      </c>
      <c r="D53">
        <v>590.34</v>
      </c>
      <c r="E53">
        <v>1.76</v>
      </c>
      <c r="F53">
        <v>17</v>
      </c>
      <c r="K53">
        <v>6</v>
      </c>
      <c r="L53" t="s">
        <v>249</v>
      </c>
      <c r="M53" t="s">
        <v>250</v>
      </c>
      <c r="N53">
        <v>590.34</v>
      </c>
      <c r="O53">
        <v>1.76</v>
      </c>
      <c r="P53">
        <v>17</v>
      </c>
    </row>
    <row r="54" spans="1:16" ht="12.75">
      <c r="A54">
        <v>6</v>
      </c>
      <c r="B54" t="s">
        <v>251</v>
      </c>
      <c r="C54" t="s">
        <v>252</v>
      </c>
      <c r="D54">
        <v>1684.58</v>
      </c>
      <c r="E54">
        <v>5.01</v>
      </c>
      <c r="F54">
        <v>17</v>
      </c>
      <c r="K54">
        <v>6</v>
      </c>
      <c r="L54" t="s">
        <v>251</v>
      </c>
      <c r="M54" t="s">
        <v>252</v>
      </c>
      <c r="N54">
        <v>1684.58</v>
      </c>
      <c r="O54">
        <v>5.01</v>
      </c>
      <c r="P54">
        <v>17</v>
      </c>
    </row>
    <row r="55" spans="1:16" ht="12.75">
      <c r="A55">
        <v>6</v>
      </c>
      <c r="B55" t="s">
        <v>253</v>
      </c>
      <c r="C55" t="s">
        <v>254</v>
      </c>
      <c r="D55">
        <v>801.04</v>
      </c>
      <c r="E55">
        <v>2.38</v>
      </c>
      <c r="F55">
        <v>17</v>
      </c>
      <c r="K55">
        <v>6</v>
      </c>
      <c r="L55" t="s">
        <v>253</v>
      </c>
      <c r="M55" t="s">
        <v>254</v>
      </c>
      <c r="N55">
        <v>801.04</v>
      </c>
      <c r="O55">
        <v>2.38</v>
      </c>
      <c r="P55">
        <v>17</v>
      </c>
    </row>
    <row r="56" spans="1:16" ht="12.75">
      <c r="A56">
        <v>6</v>
      </c>
      <c r="B56" t="s">
        <v>255</v>
      </c>
      <c r="C56" t="s">
        <v>256</v>
      </c>
      <c r="D56">
        <v>372.38</v>
      </c>
      <c r="E56">
        <v>1.11</v>
      </c>
      <c r="F56">
        <v>17</v>
      </c>
      <c r="K56">
        <v>6</v>
      </c>
      <c r="L56" t="s">
        <v>255</v>
      </c>
      <c r="M56" t="s">
        <v>256</v>
      </c>
      <c r="N56">
        <v>372.38</v>
      </c>
      <c r="O56">
        <v>1.11</v>
      </c>
      <c r="P56">
        <v>17</v>
      </c>
    </row>
    <row r="57" spans="1:16" ht="12.75">
      <c r="A57">
        <v>6</v>
      </c>
      <c r="B57" t="s">
        <v>257</v>
      </c>
      <c r="C57" t="s">
        <v>258</v>
      </c>
      <c r="D57">
        <v>116.55</v>
      </c>
      <c r="E57">
        <v>0.35</v>
      </c>
      <c r="F57">
        <v>17</v>
      </c>
      <c r="K57">
        <v>6</v>
      </c>
      <c r="L57" t="s">
        <v>257</v>
      </c>
      <c r="M57" t="s">
        <v>258</v>
      </c>
      <c r="N57">
        <v>116.55</v>
      </c>
      <c r="O57">
        <v>0.35</v>
      </c>
      <c r="P57">
        <v>17</v>
      </c>
    </row>
    <row r="58" spans="1:16" ht="12.75">
      <c r="A58">
        <v>6</v>
      </c>
      <c r="B58" t="s">
        <v>259</v>
      </c>
      <c r="C58" t="s">
        <v>260</v>
      </c>
      <c r="D58">
        <v>406.45</v>
      </c>
      <c r="E58">
        <v>1.21</v>
      </c>
      <c r="F58">
        <v>17</v>
      </c>
      <c r="K58">
        <v>6</v>
      </c>
      <c r="L58" t="s">
        <v>259</v>
      </c>
      <c r="M58" t="s">
        <v>260</v>
      </c>
      <c r="N58">
        <v>406.45</v>
      </c>
      <c r="O58">
        <v>1.21</v>
      </c>
      <c r="P58">
        <v>17</v>
      </c>
    </row>
    <row r="59" spans="1:16" ht="12.75">
      <c r="A59">
        <v>6</v>
      </c>
      <c r="B59" t="s">
        <v>261</v>
      </c>
      <c r="C59" t="s">
        <v>262</v>
      </c>
      <c r="D59">
        <v>153.39</v>
      </c>
      <c r="E59">
        <v>0.46</v>
      </c>
      <c r="F59">
        <v>17</v>
      </c>
      <c r="K59">
        <v>6</v>
      </c>
      <c r="L59" t="s">
        <v>261</v>
      </c>
      <c r="M59" t="s">
        <v>262</v>
      </c>
      <c r="N59">
        <v>153.39</v>
      </c>
      <c r="O59">
        <v>0.46</v>
      </c>
      <c r="P59">
        <v>17</v>
      </c>
    </row>
    <row r="60" spans="1:16" ht="12.75">
      <c r="A60">
        <v>6</v>
      </c>
      <c r="B60" t="s">
        <v>263</v>
      </c>
      <c r="C60" t="s">
        <v>264</v>
      </c>
      <c r="D60">
        <v>97.35</v>
      </c>
      <c r="E60">
        <v>0.29</v>
      </c>
      <c r="F60">
        <v>17</v>
      </c>
      <c r="K60">
        <v>6</v>
      </c>
      <c r="L60" t="s">
        <v>263</v>
      </c>
      <c r="M60" t="s">
        <v>264</v>
      </c>
      <c r="N60">
        <v>97.35</v>
      </c>
      <c r="O60">
        <v>0.29</v>
      </c>
      <c r="P60">
        <v>17</v>
      </c>
    </row>
    <row r="61" spans="1:16" ht="12.75">
      <c r="A61">
        <v>6</v>
      </c>
      <c r="B61" t="s">
        <v>265</v>
      </c>
      <c r="C61" t="s">
        <v>266</v>
      </c>
      <c r="D61">
        <v>129.04</v>
      </c>
      <c r="E61">
        <v>0.38</v>
      </c>
      <c r="F61">
        <v>17</v>
      </c>
      <c r="K61">
        <v>6</v>
      </c>
      <c r="L61" t="s">
        <v>265</v>
      </c>
      <c r="M61" t="s">
        <v>266</v>
      </c>
      <c r="N61">
        <v>129.04</v>
      </c>
      <c r="O61">
        <v>0.38</v>
      </c>
      <c r="P61">
        <v>17</v>
      </c>
    </row>
    <row r="62" spans="1:16" ht="12.75">
      <c r="A62">
        <v>6</v>
      </c>
      <c r="B62" t="s">
        <v>267</v>
      </c>
      <c r="C62" t="s">
        <v>268</v>
      </c>
      <c r="D62">
        <v>337.25</v>
      </c>
      <c r="E62">
        <v>1</v>
      </c>
      <c r="F62">
        <v>17</v>
      </c>
      <c r="K62">
        <v>6</v>
      </c>
      <c r="L62" t="s">
        <v>267</v>
      </c>
      <c r="M62" t="s">
        <v>268</v>
      </c>
      <c r="N62">
        <v>337.25</v>
      </c>
      <c r="O62">
        <v>1</v>
      </c>
      <c r="P62">
        <v>17</v>
      </c>
    </row>
    <row r="63" spans="1:16" ht="12.75">
      <c r="A63">
        <v>6</v>
      </c>
      <c r="B63" t="s">
        <v>269</v>
      </c>
      <c r="C63" t="s">
        <v>270</v>
      </c>
      <c r="D63">
        <v>394.25</v>
      </c>
      <c r="E63">
        <v>1.17</v>
      </c>
      <c r="F63">
        <v>17</v>
      </c>
      <c r="K63">
        <v>6</v>
      </c>
      <c r="L63" t="s">
        <v>269</v>
      </c>
      <c r="M63" t="s">
        <v>270</v>
      </c>
      <c r="N63">
        <v>394.25</v>
      </c>
      <c r="O63">
        <v>1.17</v>
      </c>
      <c r="P63">
        <v>17</v>
      </c>
    </row>
    <row r="64" spans="1:16" ht="12.75">
      <c r="A64">
        <v>6</v>
      </c>
      <c r="B64" t="s">
        <v>271</v>
      </c>
      <c r="C64" t="s">
        <v>272</v>
      </c>
      <c r="D64">
        <v>40.72</v>
      </c>
      <c r="E64">
        <v>0.12</v>
      </c>
      <c r="F64">
        <v>17</v>
      </c>
      <c r="K64">
        <v>6</v>
      </c>
      <c r="L64" t="s">
        <v>271</v>
      </c>
      <c r="M64" t="s">
        <v>272</v>
      </c>
      <c r="N64">
        <v>40.72</v>
      </c>
      <c r="O64">
        <v>0.12</v>
      </c>
      <c r="P64">
        <v>17</v>
      </c>
    </row>
    <row r="65" spans="1:16" ht="12.75">
      <c r="A65">
        <v>6</v>
      </c>
      <c r="B65" t="s">
        <v>273</v>
      </c>
      <c r="C65" t="s">
        <v>274</v>
      </c>
      <c r="D65">
        <v>230.65</v>
      </c>
      <c r="E65">
        <v>0.69</v>
      </c>
      <c r="F65">
        <v>17</v>
      </c>
      <c r="K65">
        <v>6</v>
      </c>
      <c r="L65" t="s">
        <v>273</v>
      </c>
      <c r="M65" t="s">
        <v>274</v>
      </c>
      <c r="N65">
        <v>230.65</v>
      </c>
      <c r="O65">
        <v>0.69</v>
      </c>
      <c r="P65">
        <v>17</v>
      </c>
    </row>
    <row r="66" spans="1:16" ht="12.75">
      <c r="A66">
        <v>6</v>
      </c>
      <c r="B66" t="s">
        <v>275</v>
      </c>
      <c r="C66" t="s">
        <v>276</v>
      </c>
      <c r="D66">
        <v>1204.8</v>
      </c>
      <c r="E66">
        <v>3.59</v>
      </c>
      <c r="F66">
        <v>17</v>
      </c>
      <c r="K66">
        <v>6</v>
      </c>
      <c r="L66" t="s">
        <v>275</v>
      </c>
      <c r="M66" t="s">
        <v>276</v>
      </c>
      <c r="N66">
        <v>1204.8</v>
      </c>
      <c r="O66">
        <v>3.59</v>
      </c>
      <c r="P66">
        <v>17</v>
      </c>
    </row>
    <row r="67" spans="1:16" ht="12.75">
      <c r="A67">
        <v>6</v>
      </c>
      <c r="B67" t="s">
        <v>277</v>
      </c>
      <c r="C67" t="s">
        <v>278</v>
      </c>
      <c r="D67">
        <v>503.02</v>
      </c>
      <c r="E67">
        <v>1.5</v>
      </c>
      <c r="F67">
        <v>17</v>
      </c>
      <c r="K67">
        <v>6</v>
      </c>
      <c r="L67" t="s">
        <v>277</v>
      </c>
      <c r="M67" t="s">
        <v>278</v>
      </c>
      <c r="N67">
        <v>503.02</v>
      </c>
      <c r="O67">
        <v>1.5</v>
      </c>
      <c r="P67">
        <v>17</v>
      </c>
    </row>
    <row r="68" spans="1:16" ht="12.75">
      <c r="A68">
        <v>6</v>
      </c>
      <c r="B68" t="s">
        <v>279</v>
      </c>
      <c r="C68" t="s">
        <v>280</v>
      </c>
      <c r="D68">
        <v>185.26</v>
      </c>
      <c r="E68">
        <v>0.55</v>
      </c>
      <c r="F68">
        <v>17</v>
      </c>
      <c r="K68">
        <v>6</v>
      </c>
      <c r="L68" t="s">
        <v>279</v>
      </c>
      <c r="M68" t="s">
        <v>280</v>
      </c>
      <c r="N68">
        <v>185.26</v>
      </c>
      <c r="O68">
        <v>0.55</v>
      </c>
      <c r="P68">
        <v>17</v>
      </c>
    </row>
    <row r="69" spans="1:16" ht="12.75">
      <c r="A69">
        <v>6</v>
      </c>
      <c r="B69" t="s">
        <v>281</v>
      </c>
      <c r="C69" t="s">
        <v>282</v>
      </c>
      <c r="D69">
        <v>185.26</v>
      </c>
      <c r="E69">
        <v>0.55</v>
      </c>
      <c r="F69">
        <v>17</v>
      </c>
      <c r="K69">
        <v>6</v>
      </c>
      <c r="L69" t="s">
        <v>281</v>
      </c>
      <c r="M69" t="s">
        <v>282</v>
      </c>
      <c r="N69">
        <v>185.26</v>
      </c>
      <c r="O69">
        <v>0.55</v>
      </c>
      <c r="P69">
        <v>17</v>
      </c>
    </row>
    <row r="70" spans="1:16" ht="12.75">
      <c r="A70">
        <v>6</v>
      </c>
      <c r="B70" t="s">
        <v>283</v>
      </c>
      <c r="C70" t="s">
        <v>284</v>
      </c>
      <c r="D70">
        <v>439.79</v>
      </c>
      <c r="E70">
        <v>1.31</v>
      </c>
      <c r="F70">
        <v>17</v>
      </c>
      <c r="K70">
        <v>6</v>
      </c>
      <c r="L70" t="s">
        <v>283</v>
      </c>
      <c r="M70" t="s">
        <v>284</v>
      </c>
      <c r="N70">
        <v>439.79</v>
      </c>
      <c r="O70">
        <v>1.31</v>
      </c>
      <c r="P70">
        <v>17</v>
      </c>
    </row>
    <row r="71" spans="1:16" ht="12.75">
      <c r="A71">
        <v>6</v>
      </c>
      <c r="B71" t="s">
        <v>285</v>
      </c>
      <c r="C71" t="s">
        <v>286</v>
      </c>
      <c r="D71">
        <v>1137.74</v>
      </c>
      <c r="E71">
        <v>3.39</v>
      </c>
      <c r="F71">
        <v>17</v>
      </c>
      <c r="K71">
        <v>6</v>
      </c>
      <c r="L71" t="s">
        <v>285</v>
      </c>
      <c r="M71" t="s">
        <v>286</v>
      </c>
      <c r="N71">
        <v>1137.74</v>
      </c>
      <c r="O71">
        <v>3.39</v>
      </c>
      <c r="P71">
        <v>17</v>
      </c>
    </row>
    <row r="72" spans="1:16" ht="12.75">
      <c r="A72">
        <v>6</v>
      </c>
      <c r="B72" t="s">
        <v>287</v>
      </c>
      <c r="C72" t="s">
        <v>288</v>
      </c>
      <c r="D72">
        <v>563.04</v>
      </c>
      <c r="E72">
        <v>1.68</v>
      </c>
      <c r="F72">
        <v>17</v>
      </c>
      <c r="K72">
        <v>6</v>
      </c>
      <c r="L72" t="s">
        <v>287</v>
      </c>
      <c r="M72" t="s">
        <v>288</v>
      </c>
      <c r="N72">
        <v>563.04</v>
      </c>
      <c r="O72">
        <v>1.68</v>
      </c>
      <c r="P72">
        <v>17</v>
      </c>
    </row>
    <row r="73" spans="1:16" ht="12.75">
      <c r="A73">
        <v>6</v>
      </c>
      <c r="B73" t="s">
        <v>289</v>
      </c>
      <c r="C73" t="s">
        <v>290</v>
      </c>
      <c r="D73">
        <v>151.73</v>
      </c>
      <c r="E73">
        <v>0.45</v>
      </c>
      <c r="F73">
        <v>17</v>
      </c>
      <c r="K73">
        <v>6</v>
      </c>
      <c r="L73" t="s">
        <v>289</v>
      </c>
      <c r="M73" t="s">
        <v>290</v>
      </c>
      <c r="N73">
        <v>151.73</v>
      </c>
      <c r="O73">
        <v>0.45</v>
      </c>
      <c r="P73">
        <v>17</v>
      </c>
    </row>
    <row r="74" spans="1:16" ht="12.75">
      <c r="A74">
        <v>6</v>
      </c>
      <c r="B74" t="s">
        <v>291</v>
      </c>
      <c r="C74" t="s">
        <v>292</v>
      </c>
      <c r="D74">
        <v>202.78</v>
      </c>
      <c r="E74">
        <v>0.6</v>
      </c>
      <c r="F74">
        <v>17</v>
      </c>
      <c r="K74">
        <v>6</v>
      </c>
      <c r="L74" t="s">
        <v>291</v>
      </c>
      <c r="M74" t="s">
        <v>292</v>
      </c>
      <c r="N74">
        <v>202.78</v>
      </c>
      <c r="O74">
        <v>0.6</v>
      </c>
      <c r="P74">
        <v>17</v>
      </c>
    </row>
    <row r="75" spans="1:16" ht="12.75">
      <c r="A75">
        <v>6</v>
      </c>
      <c r="B75" t="s">
        <v>293</v>
      </c>
      <c r="C75" t="s">
        <v>294</v>
      </c>
      <c r="D75">
        <v>417.92</v>
      </c>
      <c r="E75">
        <v>1.24</v>
      </c>
      <c r="F75">
        <v>17</v>
      </c>
      <c r="K75">
        <v>6</v>
      </c>
      <c r="L75" t="s">
        <v>293</v>
      </c>
      <c r="M75" t="s">
        <v>294</v>
      </c>
      <c r="N75">
        <v>417.92</v>
      </c>
      <c r="O75">
        <v>1.24</v>
      </c>
      <c r="P75">
        <v>17</v>
      </c>
    </row>
    <row r="76" spans="1:16" ht="12.75">
      <c r="A76">
        <v>6</v>
      </c>
      <c r="B76" t="s">
        <v>295</v>
      </c>
      <c r="C76" t="s">
        <v>296</v>
      </c>
      <c r="D76">
        <v>500.1</v>
      </c>
      <c r="E76">
        <v>1.49</v>
      </c>
      <c r="F76">
        <v>17</v>
      </c>
      <c r="K76">
        <v>6</v>
      </c>
      <c r="L76" t="s">
        <v>295</v>
      </c>
      <c r="M76" t="s">
        <v>296</v>
      </c>
      <c r="N76">
        <v>500.1</v>
      </c>
      <c r="O76">
        <v>1.49</v>
      </c>
      <c r="P76">
        <v>17</v>
      </c>
    </row>
    <row r="77" spans="1:16" ht="12.75">
      <c r="A77">
        <v>6</v>
      </c>
      <c r="B77" t="s">
        <v>297</v>
      </c>
      <c r="C77" t="s">
        <v>298</v>
      </c>
      <c r="D77">
        <v>237.55</v>
      </c>
      <c r="E77">
        <v>0.71</v>
      </c>
      <c r="F77">
        <v>17</v>
      </c>
      <c r="K77">
        <v>6</v>
      </c>
      <c r="L77" t="s">
        <v>297</v>
      </c>
      <c r="M77" t="s">
        <v>298</v>
      </c>
      <c r="N77">
        <v>237.55</v>
      </c>
      <c r="O77">
        <v>0.71</v>
      </c>
      <c r="P77">
        <v>17</v>
      </c>
    </row>
    <row r="78" spans="1:16" ht="12.75">
      <c r="A78">
        <v>6</v>
      </c>
      <c r="B78" t="s">
        <v>299</v>
      </c>
      <c r="C78" t="s">
        <v>300</v>
      </c>
      <c r="D78">
        <v>370.1</v>
      </c>
      <c r="E78">
        <v>1.1</v>
      </c>
      <c r="F78">
        <v>17</v>
      </c>
      <c r="K78">
        <v>6</v>
      </c>
      <c r="L78" t="s">
        <v>299</v>
      </c>
      <c r="M78" t="s">
        <v>300</v>
      </c>
      <c r="N78">
        <v>370.1</v>
      </c>
      <c r="O78">
        <v>1.1</v>
      </c>
      <c r="P78">
        <v>17</v>
      </c>
    </row>
    <row r="79" spans="1:16" ht="12.75">
      <c r="A79">
        <v>6</v>
      </c>
      <c r="B79" t="s">
        <v>301</v>
      </c>
      <c r="C79" t="s">
        <v>302</v>
      </c>
      <c r="D79">
        <v>76.9</v>
      </c>
      <c r="E79">
        <v>0.23</v>
      </c>
      <c r="F79">
        <v>17</v>
      </c>
      <c r="K79">
        <v>6</v>
      </c>
      <c r="L79" t="s">
        <v>301</v>
      </c>
      <c r="M79" t="s">
        <v>302</v>
      </c>
      <c r="N79">
        <v>76.9</v>
      </c>
      <c r="O79">
        <v>0.23</v>
      </c>
      <c r="P79">
        <v>17</v>
      </c>
    </row>
    <row r="80" spans="1:16" ht="12.75">
      <c r="A80">
        <v>6</v>
      </c>
      <c r="B80" t="s">
        <v>303</v>
      </c>
      <c r="C80" t="s">
        <v>304</v>
      </c>
      <c r="D80">
        <v>170.91</v>
      </c>
      <c r="E80">
        <v>0.51</v>
      </c>
      <c r="F80">
        <v>17</v>
      </c>
      <c r="K80">
        <v>6</v>
      </c>
      <c r="L80" t="s">
        <v>303</v>
      </c>
      <c r="M80" t="s">
        <v>304</v>
      </c>
      <c r="N80">
        <v>170.91</v>
      </c>
      <c r="O80">
        <v>0.51</v>
      </c>
      <c r="P80">
        <v>17</v>
      </c>
    </row>
    <row r="81" spans="1:16" ht="12.75">
      <c r="A81">
        <v>6</v>
      </c>
      <c r="B81" t="s">
        <v>305</v>
      </c>
      <c r="C81" t="s">
        <v>306</v>
      </c>
      <c r="D81">
        <v>170.91</v>
      </c>
      <c r="E81">
        <v>0.51</v>
      </c>
      <c r="F81">
        <v>17</v>
      </c>
      <c r="K81">
        <v>6</v>
      </c>
      <c r="L81" t="s">
        <v>305</v>
      </c>
      <c r="M81" t="s">
        <v>306</v>
      </c>
      <c r="N81">
        <v>170.91</v>
      </c>
      <c r="O81">
        <v>0.51</v>
      </c>
      <c r="P81">
        <v>17</v>
      </c>
    </row>
    <row r="82" spans="1:16" ht="12.75">
      <c r="A82">
        <v>6</v>
      </c>
      <c r="B82" t="s">
        <v>307</v>
      </c>
      <c r="C82" t="s">
        <v>308</v>
      </c>
      <c r="D82">
        <v>56.41</v>
      </c>
      <c r="E82">
        <v>0.17</v>
      </c>
      <c r="F82">
        <v>17</v>
      </c>
      <c r="K82">
        <v>6</v>
      </c>
      <c r="L82" t="s">
        <v>307</v>
      </c>
      <c r="M82" t="s">
        <v>308</v>
      </c>
      <c r="N82">
        <v>56.41</v>
      </c>
      <c r="O82">
        <v>0.17</v>
      </c>
      <c r="P82">
        <v>17</v>
      </c>
    </row>
    <row r="83" spans="1:16" ht="12.75">
      <c r="A83">
        <v>6</v>
      </c>
      <c r="B83" t="s">
        <v>309</v>
      </c>
      <c r="C83" t="s">
        <v>310</v>
      </c>
      <c r="D83">
        <v>87.18</v>
      </c>
      <c r="E83">
        <v>0.26</v>
      </c>
      <c r="F83">
        <v>17</v>
      </c>
      <c r="K83">
        <v>6</v>
      </c>
      <c r="L83" t="s">
        <v>309</v>
      </c>
      <c r="M83" t="s">
        <v>310</v>
      </c>
      <c r="N83">
        <v>87.18</v>
      </c>
      <c r="O83">
        <v>0.26</v>
      </c>
      <c r="P83">
        <v>17</v>
      </c>
    </row>
    <row r="84" spans="1:16" ht="12.75">
      <c r="A84">
        <v>6</v>
      </c>
      <c r="B84" t="s">
        <v>311</v>
      </c>
      <c r="C84" t="s">
        <v>312</v>
      </c>
      <c r="D84">
        <v>79.74</v>
      </c>
      <c r="E84">
        <v>0.24</v>
      </c>
      <c r="F84">
        <v>17</v>
      </c>
      <c r="K84">
        <v>6</v>
      </c>
      <c r="L84" t="s">
        <v>311</v>
      </c>
      <c r="M84" t="s">
        <v>312</v>
      </c>
      <c r="N84">
        <v>79.74</v>
      </c>
      <c r="O84">
        <v>0.24</v>
      </c>
      <c r="P84">
        <v>17</v>
      </c>
    </row>
    <row r="85" spans="1:16" ht="12.75">
      <c r="A85">
        <v>6</v>
      </c>
      <c r="B85" t="s">
        <v>313</v>
      </c>
      <c r="C85" t="s">
        <v>314</v>
      </c>
      <c r="D85">
        <v>185.2</v>
      </c>
      <c r="E85">
        <v>0.55</v>
      </c>
      <c r="F85">
        <v>17</v>
      </c>
      <c r="K85">
        <v>6</v>
      </c>
      <c r="L85" t="s">
        <v>313</v>
      </c>
      <c r="M85" t="s">
        <v>314</v>
      </c>
      <c r="N85">
        <v>185.2</v>
      </c>
      <c r="O85">
        <v>0.55</v>
      </c>
      <c r="P85">
        <v>17</v>
      </c>
    </row>
    <row r="86" spans="1:16" ht="12.75">
      <c r="A86">
        <v>6</v>
      </c>
      <c r="B86" t="s">
        <v>315</v>
      </c>
      <c r="C86" t="s">
        <v>316</v>
      </c>
      <c r="D86">
        <v>422</v>
      </c>
      <c r="E86">
        <v>1.26</v>
      </c>
      <c r="F86">
        <v>17</v>
      </c>
      <c r="K86">
        <v>6</v>
      </c>
      <c r="L86" t="s">
        <v>315</v>
      </c>
      <c r="M86" t="s">
        <v>316</v>
      </c>
      <c r="N86">
        <v>422</v>
      </c>
      <c r="O86">
        <v>1.26</v>
      </c>
      <c r="P86">
        <v>17</v>
      </c>
    </row>
    <row r="87" spans="1:16" ht="12.75">
      <c r="A87">
        <v>6</v>
      </c>
      <c r="B87" t="s">
        <v>317</v>
      </c>
      <c r="C87" t="s">
        <v>318</v>
      </c>
      <c r="D87">
        <v>288.42</v>
      </c>
      <c r="E87">
        <v>0.86</v>
      </c>
      <c r="F87">
        <v>17</v>
      </c>
      <c r="K87">
        <v>6</v>
      </c>
      <c r="L87" t="s">
        <v>317</v>
      </c>
      <c r="M87" t="s">
        <v>318</v>
      </c>
      <c r="N87">
        <v>288.42</v>
      </c>
      <c r="O87">
        <v>0.86</v>
      </c>
      <c r="P87">
        <v>17</v>
      </c>
    </row>
    <row r="88" spans="1:16" ht="12.75">
      <c r="A88">
        <v>6</v>
      </c>
      <c r="B88" t="s">
        <v>319</v>
      </c>
      <c r="C88" t="s">
        <v>320</v>
      </c>
      <c r="D88">
        <v>370.58</v>
      </c>
      <c r="E88">
        <v>1.1</v>
      </c>
      <c r="F88">
        <v>17</v>
      </c>
      <c r="K88">
        <v>6</v>
      </c>
      <c r="L88" t="s">
        <v>319</v>
      </c>
      <c r="M88" t="s">
        <v>320</v>
      </c>
      <c r="N88">
        <v>370.58</v>
      </c>
      <c r="O88">
        <v>1.1</v>
      </c>
      <c r="P88">
        <v>17</v>
      </c>
    </row>
    <row r="89" spans="1:16" ht="12.75">
      <c r="A89">
        <v>6</v>
      </c>
      <c r="B89" t="s">
        <v>321</v>
      </c>
      <c r="C89" t="s">
        <v>322</v>
      </c>
      <c r="D89">
        <v>87.76</v>
      </c>
      <c r="E89">
        <v>0.26</v>
      </c>
      <c r="F89">
        <v>17</v>
      </c>
      <c r="K89">
        <v>6</v>
      </c>
      <c r="L89" t="s">
        <v>321</v>
      </c>
      <c r="M89" t="s">
        <v>322</v>
      </c>
      <c r="N89">
        <v>87.76</v>
      </c>
      <c r="O89">
        <v>0.26</v>
      </c>
      <c r="P89">
        <v>17</v>
      </c>
    </row>
    <row r="90" spans="1:16" ht="12.75">
      <c r="A90">
        <v>6</v>
      </c>
      <c r="B90" t="s">
        <v>323</v>
      </c>
      <c r="C90" t="s">
        <v>324</v>
      </c>
      <c r="D90">
        <v>191.12</v>
      </c>
      <c r="E90">
        <v>0.57</v>
      </c>
      <c r="F90">
        <v>17</v>
      </c>
      <c r="K90">
        <v>6</v>
      </c>
      <c r="L90" t="s">
        <v>323</v>
      </c>
      <c r="M90" t="s">
        <v>324</v>
      </c>
      <c r="N90">
        <v>191.12</v>
      </c>
      <c r="O90">
        <v>0.57</v>
      </c>
      <c r="P90">
        <v>17</v>
      </c>
    </row>
    <row r="91" spans="1:16" ht="12.75">
      <c r="A91">
        <v>6</v>
      </c>
      <c r="B91" t="s">
        <v>325</v>
      </c>
      <c r="C91" t="s">
        <v>326</v>
      </c>
      <c r="D91">
        <v>191.12</v>
      </c>
      <c r="E91">
        <v>0.57</v>
      </c>
      <c r="F91">
        <v>17</v>
      </c>
      <c r="K91">
        <v>6</v>
      </c>
      <c r="L91" t="s">
        <v>325</v>
      </c>
      <c r="M91" t="s">
        <v>326</v>
      </c>
      <c r="N91">
        <v>191.12</v>
      </c>
      <c r="O91">
        <v>0.57</v>
      </c>
      <c r="P91">
        <v>17</v>
      </c>
    </row>
    <row r="92" spans="1:16" ht="12.75">
      <c r="A92">
        <v>6</v>
      </c>
      <c r="B92" t="s">
        <v>327</v>
      </c>
      <c r="C92" t="s">
        <v>328</v>
      </c>
      <c r="D92">
        <v>69.68</v>
      </c>
      <c r="E92">
        <v>0.21</v>
      </c>
      <c r="F92">
        <v>17</v>
      </c>
      <c r="K92">
        <v>6</v>
      </c>
      <c r="L92" t="s">
        <v>327</v>
      </c>
      <c r="M92" t="s">
        <v>328</v>
      </c>
      <c r="N92">
        <v>69.68</v>
      </c>
      <c r="O92">
        <v>0.21</v>
      </c>
      <c r="P92">
        <v>17</v>
      </c>
    </row>
    <row r="93" spans="1:16" ht="12.75">
      <c r="A93">
        <v>6</v>
      </c>
      <c r="B93" t="s">
        <v>329</v>
      </c>
      <c r="C93" t="s">
        <v>330</v>
      </c>
      <c r="D93">
        <v>36.32</v>
      </c>
      <c r="E93">
        <v>0.11</v>
      </c>
      <c r="F93">
        <v>17</v>
      </c>
      <c r="K93">
        <v>6</v>
      </c>
      <c r="L93" t="s">
        <v>329</v>
      </c>
      <c r="M93" t="s">
        <v>330</v>
      </c>
      <c r="N93">
        <v>36.32</v>
      </c>
      <c r="O93">
        <v>0.11</v>
      </c>
      <c r="P93">
        <v>17</v>
      </c>
    </row>
    <row r="94" spans="1:16" ht="12.75">
      <c r="A94">
        <v>6</v>
      </c>
      <c r="B94" t="s">
        <v>331</v>
      </c>
      <c r="C94" t="s">
        <v>332</v>
      </c>
      <c r="D94">
        <v>291.73</v>
      </c>
      <c r="E94">
        <v>0.87</v>
      </c>
      <c r="F94">
        <v>17</v>
      </c>
      <c r="K94">
        <v>6</v>
      </c>
      <c r="L94" t="s">
        <v>331</v>
      </c>
      <c r="M94" t="s">
        <v>332</v>
      </c>
      <c r="N94">
        <v>291.73</v>
      </c>
      <c r="O94">
        <v>0.87</v>
      </c>
      <c r="P94">
        <v>17</v>
      </c>
    </row>
    <row r="95" spans="1:16" ht="12.75">
      <c r="A95">
        <v>6</v>
      </c>
      <c r="B95" t="s">
        <v>333</v>
      </c>
      <c r="C95" t="s">
        <v>334</v>
      </c>
      <c r="D95">
        <v>411.96</v>
      </c>
      <c r="E95">
        <v>1.23</v>
      </c>
      <c r="F95">
        <v>17</v>
      </c>
      <c r="K95">
        <v>6</v>
      </c>
      <c r="L95" t="s">
        <v>333</v>
      </c>
      <c r="M95" t="s">
        <v>334</v>
      </c>
      <c r="N95">
        <v>411.96</v>
      </c>
      <c r="O95">
        <v>1.23</v>
      </c>
      <c r="P95">
        <v>17</v>
      </c>
    </row>
    <row r="96" spans="1:16" ht="12.75">
      <c r="A96">
        <v>6</v>
      </c>
      <c r="B96" t="s">
        <v>335</v>
      </c>
      <c r="C96" t="s">
        <v>336</v>
      </c>
      <c r="D96">
        <v>848.3</v>
      </c>
      <c r="E96">
        <v>2.53</v>
      </c>
      <c r="F96">
        <v>17</v>
      </c>
      <c r="K96">
        <v>6</v>
      </c>
      <c r="L96" t="s">
        <v>335</v>
      </c>
      <c r="M96" t="s">
        <v>336</v>
      </c>
      <c r="N96">
        <v>848.3</v>
      </c>
      <c r="O96">
        <v>2.53</v>
      </c>
      <c r="P96">
        <v>17</v>
      </c>
    </row>
    <row r="97" spans="1:16" ht="12.75">
      <c r="A97">
        <v>6</v>
      </c>
      <c r="B97" t="s">
        <v>337</v>
      </c>
      <c r="C97" t="s">
        <v>338</v>
      </c>
      <c r="D97">
        <v>638.12</v>
      </c>
      <c r="E97">
        <v>1.9</v>
      </c>
      <c r="F97">
        <v>17</v>
      </c>
      <c r="K97">
        <v>6</v>
      </c>
      <c r="L97" t="s">
        <v>337</v>
      </c>
      <c r="M97" t="s">
        <v>338</v>
      </c>
      <c r="N97">
        <v>638.12</v>
      </c>
      <c r="O97">
        <v>1.9</v>
      </c>
      <c r="P97">
        <v>17</v>
      </c>
    </row>
    <row r="98" spans="1:16" ht="12.75">
      <c r="A98">
        <v>6</v>
      </c>
      <c r="B98" t="s">
        <v>339</v>
      </c>
      <c r="C98" t="s">
        <v>340</v>
      </c>
      <c r="D98">
        <v>680.88</v>
      </c>
      <c r="E98">
        <v>2.03</v>
      </c>
      <c r="F98">
        <v>17</v>
      </c>
      <c r="K98">
        <v>6</v>
      </c>
      <c r="L98" t="s">
        <v>339</v>
      </c>
      <c r="M98" t="s">
        <v>340</v>
      </c>
      <c r="N98">
        <v>680.88</v>
      </c>
      <c r="O98">
        <v>2.03</v>
      </c>
      <c r="P98">
        <v>17</v>
      </c>
    </row>
    <row r="99" spans="1:16" ht="12.75">
      <c r="A99">
        <v>6</v>
      </c>
      <c r="B99" t="s">
        <v>341</v>
      </c>
      <c r="C99" t="s">
        <v>342</v>
      </c>
      <c r="D99">
        <v>230</v>
      </c>
      <c r="E99">
        <v>0.68</v>
      </c>
      <c r="F99">
        <v>17</v>
      </c>
      <c r="K99">
        <v>6</v>
      </c>
      <c r="L99" t="s">
        <v>341</v>
      </c>
      <c r="M99" t="s">
        <v>342</v>
      </c>
      <c r="N99">
        <v>230</v>
      </c>
      <c r="O99">
        <v>0.68</v>
      </c>
      <c r="P99">
        <v>17</v>
      </c>
    </row>
    <row r="100" spans="1:16" ht="12.75">
      <c r="A100">
        <v>6</v>
      </c>
      <c r="B100" t="s">
        <v>343</v>
      </c>
      <c r="C100" t="s">
        <v>344</v>
      </c>
      <c r="D100">
        <v>35.28</v>
      </c>
      <c r="E100">
        <v>0.11</v>
      </c>
      <c r="F100">
        <v>17</v>
      </c>
      <c r="K100">
        <v>6</v>
      </c>
      <c r="L100" t="s">
        <v>343</v>
      </c>
      <c r="M100" t="s">
        <v>344</v>
      </c>
      <c r="N100">
        <v>35.28</v>
      </c>
      <c r="O100">
        <v>0.11</v>
      </c>
      <c r="P100">
        <v>17</v>
      </c>
    </row>
    <row r="101" spans="1:16" ht="12.75">
      <c r="A101">
        <v>6</v>
      </c>
      <c r="B101" t="s">
        <v>345</v>
      </c>
      <c r="C101" t="s">
        <v>346</v>
      </c>
      <c r="D101">
        <v>102.33</v>
      </c>
      <c r="E101">
        <v>0.3</v>
      </c>
      <c r="F101">
        <v>17</v>
      </c>
      <c r="K101">
        <v>6</v>
      </c>
      <c r="L101" t="s">
        <v>345</v>
      </c>
      <c r="M101" t="s">
        <v>346</v>
      </c>
      <c r="N101">
        <v>102.33</v>
      </c>
      <c r="O101">
        <v>0.3</v>
      </c>
      <c r="P101">
        <v>17</v>
      </c>
    </row>
    <row r="102" spans="1:16" ht="12.75">
      <c r="A102">
        <v>6</v>
      </c>
      <c r="B102" t="s">
        <v>347</v>
      </c>
      <c r="C102" t="s">
        <v>348</v>
      </c>
      <c r="D102">
        <v>145.24</v>
      </c>
      <c r="E102">
        <v>0.43</v>
      </c>
      <c r="F102">
        <v>17</v>
      </c>
      <c r="K102">
        <v>6</v>
      </c>
      <c r="L102" t="s">
        <v>347</v>
      </c>
      <c r="M102" t="s">
        <v>348</v>
      </c>
      <c r="N102">
        <v>145.24</v>
      </c>
      <c r="O102">
        <v>0.43</v>
      </c>
      <c r="P102">
        <v>17</v>
      </c>
    </row>
    <row r="103" spans="1:16" ht="12.75">
      <c r="A103">
        <v>6</v>
      </c>
      <c r="B103" t="s">
        <v>349</v>
      </c>
      <c r="C103" t="s">
        <v>350</v>
      </c>
      <c r="D103">
        <v>104.76</v>
      </c>
      <c r="E103">
        <v>0.31</v>
      </c>
      <c r="F103">
        <v>17</v>
      </c>
      <c r="K103">
        <v>6</v>
      </c>
      <c r="L103" t="s">
        <v>349</v>
      </c>
      <c r="M103" t="s">
        <v>350</v>
      </c>
      <c r="N103">
        <v>104.76</v>
      </c>
      <c r="O103">
        <v>0.31</v>
      </c>
      <c r="P103">
        <v>17</v>
      </c>
    </row>
    <row r="104" spans="1:16" ht="12.75">
      <c r="A104">
        <v>6</v>
      </c>
      <c r="B104" t="s">
        <v>351</v>
      </c>
      <c r="C104" t="s">
        <v>352</v>
      </c>
      <c r="D104">
        <v>161.39</v>
      </c>
      <c r="E104">
        <v>0.48</v>
      </c>
      <c r="F104">
        <v>17</v>
      </c>
      <c r="K104">
        <v>6</v>
      </c>
      <c r="L104" t="s">
        <v>351</v>
      </c>
      <c r="M104" t="s">
        <v>352</v>
      </c>
      <c r="N104">
        <v>161.39</v>
      </c>
      <c r="O104">
        <v>0.48</v>
      </c>
      <c r="P104">
        <v>17</v>
      </c>
    </row>
    <row r="105" spans="1:16" ht="12.75">
      <c r="A105">
        <v>6</v>
      </c>
      <c r="B105" t="s">
        <v>353</v>
      </c>
      <c r="C105" t="s">
        <v>354</v>
      </c>
      <c r="D105">
        <v>98.31</v>
      </c>
      <c r="E105">
        <v>0.29</v>
      </c>
      <c r="F105">
        <v>17</v>
      </c>
      <c r="K105">
        <v>6</v>
      </c>
      <c r="L105" t="s">
        <v>353</v>
      </c>
      <c r="M105" t="s">
        <v>354</v>
      </c>
      <c r="N105">
        <v>98.31</v>
      </c>
      <c r="O105">
        <v>0.29</v>
      </c>
      <c r="P105">
        <v>17</v>
      </c>
    </row>
    <row r="106" spans="1:16" ht="12.75">
      <c r="A106">
        <v>6</v>
      </c>
      <c r="B106" t="s">
        <v>355</v>
      </c>
      <c r="C106" t="s">
        <v>356</v>
      </c>
      <c r="D106">
        <v>122.66</v>
      </c>
      <c r="E106">
        <v>0.37</v>
      </c>
      <c r="F106">
        <v>17</v>
      </c>
      <c r="K106">
        <v>6</v>
      </c>
      <c r="L106" t="s">
        <v>355</v>
      </c>
      <c r="M106" t="s">
        <v>356</v>
      </c>
      <c r="N106">
        <v>122.66</v>
      </c>
      <c r="O106">
        <v>0.37</v>
      </c>
      <c r="P106">
        <v>17</v>
      </c>
    </row>
    <row r="107" spans="1:16" ht="12.75">
      <c r="A107">
        <v>6</v>
      </c>
      <c r="B107" t="s">
        <v>357</v>
      </c>
      <c r="C107" t="s">
        <v>358</v>
      </c>
      <c r="D107">
        <v>64.66</v>
      </c>
      <c r="E107">
        <v>0.19</v>
      </c>
      <c r="F107">
        <v>17</v>
      </c>
      <c r="K107">
        <v>6</v>
      </c>
      <c r="L107" t="s">
        <v>357</v>
      </c>
      <c r="M107" t="s">
        <v>358</v>
      </c>
      <c r="N107">
        <v>64.66</v>
      </c>
      <c r="O107">
        <v>0.19</v>
      </c>
      <c r="P107">
        <v>17</v>
      </c>
    </row>
    <row r="108" spans="1:16" ht="12.75">
      <c r="A108">
        <v>6</v>
      </c>
      <c r="B108" t="s">
        <v>359</v>
      </c>
      <c r="C108" t="s">
        <v>360</v>
      </c>
      <c r="D108">
        <v>61.34</v>
      </c>
      <c r="E108">
        <v>0.18</v>
      </c>
      <c r="F108">
        <v>17</v>
      </c>
      <c r="K108">
        <v>6</v>
      </c>
      <c r="L108" t="s">
        <v>359</v>
      </c>
      <c r="M108" t="s">
        <v>360</v>
      </c>
      <c r="N108">
        <v>61.34</v>
      </c>
      <c r="O108">
        <v>0.18</v>
      </c>
      <c r="P108">
        <v>17</v>
      </c>
    </row>
    <row r="109" spans="1:16" ht="12.75">
      <c r="A109">
        <v>6</v>
      </c>
      <c r="B109" t="s">
        <v>361</v>
      </c>
      <c r="C109" t="s">
        <v>362</v>
      </c>
      <c r="D109">
        <v>492.29</v>
      </c>
      <c r="E109">
        <v>1.47</v>
      </c>
      <c r="F109">
        <v>17</v>
      </c>
      <c r="K109">
        <v>6</v>
      </c>
      <c r="L109" t="s">
        <v>361</v>
      </c>
      <c r="M109" t="s">
        <v>362</v>
      </c>
      <c r="N109">
        <v>492.29</v>
      </c>
      <c r="O109">
        <v>1.47</v>
      </c>
      <c r="P109">
        <v>17</v>
      </c>
    </row>
    <row r="110" spans="1:16" ht="12.75">
      <c r="A110">
        <v>6</v>
      </c>
      <c r="B110" t="s">
        <v>363</v>
      </c>
      <c r="C110" t="s">
        <v>364</v>
      </c>
      <c r="D110">
        <v>432.22</v>
      </c>
      <c r="E110">
        <v>1.29</v>
      </c>
      <c r="F110">
        <v>17</v>
      </c>
      <c r="K110">
        <v>6</v>
      </c>
      <c r="L110" t="s">
        <v>363</v>
      </c>
      <c r="M110" t="s">
        <v>364</v>
      </c>
      <c r="N110">
        <v>432.22</v>
      </c>
      <c r="O110">
        <v>1.29</v>
      </c>
      <c r="P110">
        <v>17</v>
      </c>
    </row>
    <row r="111" spans="1:16" ht="12.75">
      <c r="A111">
        <v>6</v>
      </c>
      <c r="B111" t="s">
        <v>365</v>
      </c>
      <c r="C111" t="s">
        <v>366</v>
      </c>
      <c r="D111">
        <v>89.19</v>
      </c>
      <c r="E111">
        <v>0.27</v>
      </c>
      <c r="F111">
        <v>17</v>
      </c>
      <c r="K111">
        <v>6</v>
      </c>
      <c r="L111" t="s">
        <v>365</v>
      </c>
      <c r="M111" t="s">
        <v>366</v>
      </c>
      <c r="N111">
        <v>89.19</v>
      </c>
      <c r="O111">
        <v>0.27</v>
      </c>
      <c r="P111">
        <v>17</v>
      </c>
    </row>
    <row r="112" spans="1:16" ht="12.75">
      <c r="A112">
        <v>6</v>
      </c>
      <c r="B112" t="s">
        <v>367</v>
      </c>
      <c r="C112" t="s">
        <v>368</v>
      </c>
      <c r="D112">
        <v>196.25</v>
      </c>
      <c r="E112">
        <v>0.58</v>
      </c>
      <c r="F112">
        <v>17</v>
      </c>
      <c r="K112">
        <v>6</v>
      </c>
      <c r="L112" t="s">
        <v>367</v>
      </c>
      <c r="M112" t="s">
        <v>368</v>
      </c>
      <c r="N112">
        <v>196.25</v>
      </c>
      <c r="O112">
        <v>0.58</v>
      </c>
      <c r="P112">
        <v>17</v>
      </c>
    </row>
    <row r="113" spans="1:16" ht="12.75">
      <c r="A113">
        <v>6</v>
      </c>
      <c r="B113" t="s">
        <v>369</v>
      </c>
      <c r="C113" t="s">
        <v>370</v>
      </c>
      <c r="D113">
        <v>142.37</v>
      </c>
      <c r="E113">
        <v>0.42</v>
      </c>
      <c r="F113">
        <v>17</v>
      </c>
      <c r="K113">
        <v>6</v>
      </c>
      <c r="L113" t="s">
        <v>369</v>
      </c>
      <c r="M113" t="s">
        <v>370</v>
      </c>
      <c r="N113">
        <v>142.37</v>
      </c>
      <c r="O113">
        <v>0.42</v>
      </c>
      <c r="P113">
        <v>17</v>
      </c>
    </row>
    <row r="114" spans="1:16" ht="12.75">
      <c r="A114">
        <v>6</v>
      </c>
      <c r="B114" t="s">
        <v>371</v>
      </c>
      <c r="C114" t="s">
        <v>372</v>
      </c>
      <c r="D114">
        <v>146.79</v>
      </c>
      <c r="E114">
        <v>0.44</v>
      </c>
      <c r="F114">
        <v>17</v>
      </c>
      <c r="K114">
        <v>6</v>
      </c>
      <c r="L114" t="s">
        <v>371</v>
      </c>
      <c r="M114" t="s">
        <v>372</v>
      </c>
      <c r="N114">
        <v>146.79</v>
      </c>
      <c r="O114">
        <v>0.44</v>
      </c>
      <c r="P114">
        <v>17</v>
      </c>
    </row>
    <row r="115" spans="1:16" ht="12.75">
      <c r="A115">
        <v>6</v>
      </c>
      <c r="B115" t="s">
        <v>373</v>
      </c>
      <c r="C115" t="s">
        <v>374</v>
      </c>
      <c r="D115">
        <v>158.29</v>
      </c>
      <c r="E115">
        <v>0.47</v>
      </c>
      <c r="F115">
        <v>17</v>
      </c>
      <c r="K115">
        <v>6</v>
      </c>
      <c r="L115" t="s">
        <v>373</v>
      </c>
      <c r="M115" t="s">
        <v>374</v>
      </c>
      <c r="N115">
        <v>158.29</v>
      </c>
      <c r="O115">
        <v>0.47</v>
      </c>
      <c r="P115">
        <v>17</v>
      </c>
    </row>
    <row r="116" spans="1:16" ht="12.75">
      <c r="A116">
        <v>6</v>
      </c>
      <c r="B116" t="s">
        <v>375</v>
      </c>
      <c r="C116" t="s">
        <v>376</v>
      </c>
      <c r="D116">
        <v>74</v>
      </c>
      <c r="E116">
        <v>0.22</v>
      </c>
      <c r="F116">
        <v>17</v>
      </c>
      <c r="K116">
        <v>6</v>
      </c>
      <c r="L116" t="s">
        <v>375</v>
      </c>
      <c r="M116" t="s">
        <v>376</v>
      </c>
      <c r="N116">
        <v>74</v>
      </c>
      <c r="O116">
        <v>0.22</v>
      </c>
      <c r="P116">
        <v>17</v>
      </c>
    </row>
    <row r="117" spans="1:16" ht="12.75">
      <c r="A117">
        <v>6</v>
      </c>
      <c r="B117" t="s">
        <v>377</v>
      </c>
      <c r="C117" t="s">
        <v>378</v>
      </c>
      <c r="D117">
        <v>129.31</v>
      </c>
      <c r="E117">
        <v>0.38</v>
      </c>
      <c r="F117">
        <v>17</v>
      </c>
      <c r="K117">
        <v>6</v>
      </c>
      <c r="L117" t="s">
        <v>377</v>
      </c>
      <c r="M117" t="s">
        <v>378</v>
      </c>
      <c r="N117">
        <v>129.31</v>
      </c>
      <c r="O117">
        <v>0.38</v>
      </c>
      <c r="P117">
        <v>17</v>
      </c>
    </row>
    <row r="118" spans="1:16" ht="12.75">
      <c r="A118">
        <v>6</v>
      </c>
      <c r="B118" t="s">
        <v>379</v>
      </c>
      <c r="C118" t="s">
        <v>380</v>
      </c>
      <c r="D118">
        <v>405.26</v>
      </c>
      <c r="E118">
        <v>1.21</v>
      </c>
      <c r="F118">
        <v>17</v>
      </c>
      <c r="K118">
        <v>6</v>
      </c>
      <c r="L118" t="s">
        <v>379</v>
      </c>
      <c r="M118" t="s">
        <v>380</v>
      </c>
      <c r="N118">
        <v>405.26</v>
      </c>
      <c r="O118">
        <v>1.21</v>
      </c>
      <c r="P118">
        <v>17</v>
      </c>
    </row>
    <row r="119" spans="1:16" ht="12.75">
      <c r="A119">
        <v>6</v>
      </c>
      <c r="B119" t="s">
        <v>381</v>
      </c>
      <c r="C119" t="s">
        <v>382</v>
      </c>
      <c r="D119">
        <v>256.06</v>
      </c>
      <c r="E119">
        <v>0.76</v>
      </c>
      <c r="F119">
        <v>17</v>
      </c>
      <c r="K119">
        <v>6</v>
      </c>
      <c r="L119" t="s">
        <v>381</v>
      </c>
      <c r="M119" t="s">
        <v>382</v>
      </c>
      <c r="N119">
        <v>256.06</v>
      </c>
      <c r="O119">
        <v>0.76</v>
      </c>
      <c r="P119">
        <v>17</v>
      </c>
    </row>
    <row r="120" spans="1:16" ht="12.75">
      <c r="A120">
        <v>6</v>
      </c>
      <c r="B120" t="s">
        <v>383</v>
      </c>
      <c r="C120" t="s">
        <v>384</v>
      </c>
      <c r="D120">
        <v>581</v>
      </c>
      <c r="E120">
        <v>1.73</v>
      </c>
      <c r="F120">
        <v>17</v>
      </c>
      <c r="K120">
        <v>6</v>
      </c>
      <c r="L120" t="s">
        <v>383</v>
      </c>
      <c r="M120" t="s">
        <v>384</v>
      </c>
      <c r="N120">
        <v>581</v>
      </c>
      <c r="O120">
        <v>1.73</v>
      </c>
      <c r="P120">
        <v>17</v>
      </c>
    </row>
    <row r="121" spans="1:16" ht="12.75">
      <c r="A121">
        <v>6</v>
      </c>
      <c r="B121" t="s">
        <v>385</v>
      </c>
      <c r="C121" t="s">
        <v>386</v>
      </c>
      <c r="D121">
        <v>170.57</v>
      </c>
      <c r="E121">
        <v>0.51</v>
      </c>
      <c r="F121">
        <v>17</v>
      </c>
      <c r="K121">
        <v>6</v>
      </c>
      <c r="L121" t="s">
        <v>385</v>
      </c>
      <c r="M121" t="s">
        <v>386</v>
      </c>
      <c r="N121">
        <v>170.57</v>
      </c>
      <c r="O121">
        <v>0.51</v>
      </c>
      <c r="P121">
        <v>17</v>
      </c>
    </row>
    <row r="122" spans="1:16" ht="12.75">
      <c r="A122">
        <v>6</v>
      </c>
      <c r="B122" t="s">
        <v>387</v>
      </c>
      <c r="C122" t="s">
        <v>388</v>
      </c>
      <c r="D122">
        <v>482.43</v>
      </c>
      <c r="E122">
        <v>1.44</v>
      </c>
      <c r="F122">
        <v>17</v>
      </c>
      <c r="K122">
        <v>6</v>
      </c>
      <c r="L122" t="s">
        <v>387</v>
      </c>
      <c r="M122" t="s">
        <v>388</v>
      </c>
      <c r="N122">
        <v>482.43</v>
      </c>
      <c r="O122">
        <v>1.44</v>
      </c>
      <c r="P122">
        <v>17</v>
      </c>
    </row>
    <row r="123" spans="1:16" ht="12.75">
      <c r="A123">
        <v>6</v>
      </c>
      <c r="B123" t="s">
        <v>389</v>
      </c>
      <c r="C123" t="s">
        <v>390</v>
      </c>
      <c r="D123">
        <v>567.54</v>
      </c>
      <c r="E123">
        <v>1.69</v>
      </c>
      <c r="F123">
        <v>17</v>
      </c>
      <c r="K123">
        <v>6</v>
      </c>
      <c r="L123" t="s">
        <v>389</v>
      </c>
      <c r="M123" t="s">
        <v>390</v>
      </c>
      <c r="N123">
        <v>567.54</v>
      </c>
      <c r="O123">
        <v>1.69</v>
      </c>
      <c r="P123">
        <v>17</v>
      </c>
    </row>
    <row r="124" spans="1:16" ht="12.75">
      <c r="A124">
        <v>6</v>
      </c>
      <c r="B124" t="s">
        <v>391</v>
      </c>
      <c r="C124" t="s">
        <v>392</v>
      </c>
      <c r="D124">
        <v>36.46</v>
      </c>
      <c r="E124">
        <v>0.11</v>
      </c>
      <c r="F124">
        <v>17</v>
      </c>
      <c r="K124">
        <v>6</v>
      </c>
      <c r="L124" t="s">
        <v>391</v>
      </c>
      <c r="M124" t="s">
        <v>392</v>
      </c>
      <c r="N124">
        <v>36.46</v>
      </c>
      <c r="O124">
        <v>0.11</v>
      </c>
      <c r="P124">
        <v>17</v>
      </c>
    </row>
    <row r="125" spans="1:16" ht="12.75">
      <c r="A125">
        <v>6</v>
      </c>
      <c r="B125" t="s">
        <v>393</v>
      </c>
      <c r="C125" t="s">
        <v>394</v>
      </c>
      <c r="D125">
        <v>192.32</v>
      </c>
      <c r="E125">
        <v>0.57</v>
      </c>
      <c r="F125">
        <v>17</v>
      </c>
      <c r="K125">
        <v>6</v>
      </c>
      <c r="L125" t="s">
        <v>393</v>
      </c>
      <c r="M125" t="s">
        <v>394</v>
      </c>
      <c r="N125">
        <v>192.32</v>
      </c>
      <c r="O125">
        <v>0.57</v>
      </c>
      <c r="P125">
        <v>17</v>
      </c>
    </row>
    <row r="126" spans="1:16" ht="12.75">
      <c r="A126">
        <v>6</v>
      </c>
      <c r="B126" t="s">
        <v>395</v>
      </c>
      <c r="C126" t="s">
        <v>396</v>
      </c>
      <c r="D126">
        <v>88</v>
      </c>
      <c r="E126">
        <v>0.26</v>
      </c>
      <c r="F126">
        <v>17</v>
      </c>
      <c r="K126">
        <v>6</v>
      </c>
      <c r="L126" t="s">
        <v>395</v>
      </c>
      <c r="M126" t="s">
        <v>396</v>
      </c>
      <c r="N126">
        <v>88</v>
      </c>
      <c r="O126">
        <v>0.26</v>
      </c>
      <c r="P126">
        <v>17</v>
      </c>
    </row>
    <row r="127" spans="1:16" ht="12.75">
      <c r="A127">
        <v>6</v>
      </c>
      <c r="B127" t="s">
        <v>397</v>
      </c>
      <c r="C127" t="s">
        <v>398</v>
      </c>
      <c r="D127">
        <v>81.68</v>
      </c>
      <c r="E127">
        <v>0.24</v>
      </c>
      <c r="F127">
        <v>17</v>
      </c>
      <c r="K127">
        <v>6</v>
      </c>
      <c r="L127" t="s">
        <v>397</v>
      </c>
      <c r="M127" t="s">
        <v>398</v>
      </c>
      <c r="N127">
        <v>81.68</v>
      </c>
      <c r="O127">
        <v>0.24</v>
      </c>
      <c r="P127">
        <v>17</v>
      </c>
    </row>
    <row r="128" spans="1:16" ht="12.75">
      <c r="A128">
        <v>6</v>
      </c>
      <c r="B128" t="s">
        <v>399</v>
      </c>
      <c r="C128" t="s">
        <v>400</v>
      </c>
      <c r="D128">
        <v>483.76</v>
      </c>
      <c r="E128">
        <v>1.44</v>
      </c>
      <c r="F128">
        <v>17</v>
      </c>
      <c r="K128">
        <v>6</v>
      </c>
      <c r="L128" t="s">
        <v>399</v>
      </c>
      <c r="M128" t="s">
        <v>400</v>
      </c>
      <c r="N128">
        <v>483.76</v>
      </c>
      <c r="O128">
        <v>1.44</v>
      </c>
      <c r="P128">
        <v>17</v>
      </c>
    </row>
    <row r="129" spans="1:16" ht="12.75">
      <c r="A129">
        <v>6</v>
      </c>
      <c r="B129" t="s">
        <v>401</v>
      </c>
      <c r="C129" t="s">
        <v>402</v>
      </c>
      <c r="D129">
        <v>606.76</v>
      </c>
      <c r="E129">
        <v>1.81</v>
      </c>
      <c r="F129">
        <v>17</v>
      </c>
      <c r="K129">
        <v>6</v>
      </c>
      <c r="L129" t="s">
        <v>401</v>
      </c>
      <c r="M129" t="s">
        <v>402</v>
      </c>
      <c r="N129">
        <v>606.76</v>
      </c>
      <c r="O129">
        <v>1.81</v>
      </c>
      <c r="P129">
        <v>17</v>
      </c>
    </row>
    <row r="130" spans="1:16" ht="12.75">
      <c r="A130">
        <v>6</v>
      </c>
      <c r="B130" t="s">
        <v>403</v>
      </c>
      <c r="C130" t="s">
        <v>404</v>
      </c>
      <c r="D130">
        <v>286.38</v>
      </c>
      <c r="E130">
        <v>0.85</v>
      </c>
      <c r="F130">
        <v>17</v>
      </c>
      <c r="K130">
        <v>6</v>
      </c>
      <c r="L130" t="s">
        <v>403</v>
      </c>
      <c r="M130" t="s">
        <v>404</v>
      </c>
      <c r="N130">
        <v>286.38</v>
      </c>
      <c r="O130">
        <v>0.85</v>
      </c>
      <c r="P130">
        <v>17</v>
      </c>
    </row>
    <row r="131" spans="1:16" ht="12.75">
      <c r="A131">
        <v>6</v>
      </c>
      <c r="B131" t="s">
        <v>405</v>
      </c>
      <c r="C131" t="s">
        <v>406</v>
      </c>
      <c r="D131">
        <v>706.19</v>
      </c>
      <c r="E131">
        <v>2.1</v>
      </c>
      <c r="F131">
        <v>17</v>
      </c>
      <c r="K131">
        <v>6</v>
      </c>
      <c r="L131" t="s">
        <v>405</v>
      </c>
      <c r="M131" t="s">
        <v>406</v>
      </c>
      <c r="N131">
        <v>706.19</v>
      </c>
      <c r="O131">
        <v>2.1</v>
      </c>
      <c r="P131">
        <v>17</v>
      </c>
    </row>
    <row r="132" spans="1:16" ht="12.75">
      <c r="A132">
        <v>6</v>
      </c>
      <c r="B132" t="s">
        <v>407</v>
      </c>
      <c r="C132" t="s">
        <v>408</v>
      </c>
      <c r="D132">
        <v>316.25</v>
      </c>
      <c r="E132">
        <v>0.94</v>
      </c>
      <c r="F132">
        <v>17</v>
      </c>
      <c r="K132">
        <v>6</v>
      </c>
      <c r="L132" t="s">
        <v>407</v>
      </c>
      <c r="M132" t="s">
        <v>408</v>
      </c>
      <c r="N132">
        <v>316.25</v>
      </c>
      <c r="O132">
        <v>0.94</v>
      </c>
      <c r="P132">
        <v>17</v>
      </c>
    </row>
    <row r="133" spans="1:16" ht="12.75">
      <c r="A133">
        <v>6</v>
      </c>
      <c r="B133" t="s">
        <v>409</v>
      </c>
      <c r="C133" t="s">
        <v>410</v>
      </c>
      <c r="D133">
        <v>227.65</v>
      </c>
      <c r="E133">
        <v>0.68</v>
      </c>
      <c r="F133">
        <v>17</v>
      </c>
      <c r="K133">
        <v>6</v>
      </c>
      <c r="L133" t="s">
        <v>409</v>
      </c>
      <c r="M133" t="s">
        <v>410</v>
      </c>
      <c r="N133">
        <v>227.65</v>
      </c>
      <c r="O133">
        <v>0.68</v>
      </c>
      <c r="P133">
        <v>17</v>
      </c>
    </row>
    <row r="134" spans="1:16" ht="12.75">
      <c r="A134">
        <v>6</v>
      </c>
      <c r="B134" t="s">
        <v>411</v>
      </c>
      <c r="C134" t="s">
        <v>412</v>
      </c>
      <c r="D134">
        <v>328.97</v>
      </c>
      <c r="E134">
        <v>0.98</v>
      </c>
      <c r="F134">
        <v>17</v>
      </c>
      <c r="K134">
        <v>6</v>
      </c>
      <c r="L134" t="s">
        <v>411</v>
      </c>
      <c r="M134" t="s">
        <v>412</v>
      </c>
      <c r="N134">
        <v>328.97</v>
      </c>
      <c r="O134">
        <v>0.98</v>
      </c>
      <c r="P134">
        <v>17</v>
      </c>
    </row>
    <row r="135" spans="1:16" ht="12.75">
      <c r="A135">
        <v>6</v>
      </c>
      <c r="B135" t="s">
        <v>413</v>
      </c>
      <c r="C135" t="s">
        <v>414</v>
      </c>
      <c r="D135">
        <v>559.94</v>
      </c>
      <c r="E135">
        <v>1.67</v>
      </c>
      <c r="F135">
        <v>17</v>
      </c>
      <c r="K135">
        <v>6</v>
      </c>
      <c r="L135" t="s">
        <v>413</v>
      </c>
      <c r="M135" t="s">
        <v>414</v>
      </c>
      <c r="N135">
        <v>559.94</v>
      </c>
      <c r="O135">
        <v>1.67</v>
      </c>
      <c r="P135">
        <v>17</v>
      </c>
    </row>
    <row r="136" spans="1:16" ht="12.75">
      <c r="A136">
        <v>6</v>
      </c>
      <c r="B136" t="s">
        <v>415</v>
      </c>
      <c r="C136" t="s">
        <v>416</v>
      </c>
      <c r="D136">
        <v>57.4</v>
      </c>
      <c r="E136">
        <v>0.17</v>
      </c>
      <c r="F136">
        <v>17</v>
      </c>
      <c r="K136">
        <v>6</v>
      </c>
      <c r="L136" t="s">
        <v>415</v>
      </c>
      <c r="M136" t="s">
        <v>416</v>
      </c>
      <c r="N136">
        <v>57.4</v>
      </c>
      <c r="O136">
        <v>0.17</v>
      </c>
      <c r="P136">
        <v>17</v>
      </c>
    </row>
    <row r="137" spans="1:16" ht="12.75">
      <c r="A137">
        <v>6</v>
      </c>
      <c r="B137" t="s">
        <v>417</v>
      </c>
      <c r="C137" t="s">
        <v>418</v>
      </c>
      <c r="D137">
        <v>66.69</v>
      </c>
      <c r="E137">
        <v>0.2</v>
      </c>
      <c r="F137">
        <v>17</v>
      </c>
      <c r="K137">
        <v>6</v>
      </c>
      <c r="L137" t="s">
        <v>417</v>
      </c>
      <c r="M137" t="s">
        <v>418</v>
      </c>
      <c r="N137">
        <v>66.69</v>
      </c>
      <c r="O137">
        <v>0.2</v>
      </c>
      <c r="P137">
        <v>17</v>
      </c>
    </row>
    <row r="138" spans="1:16" ht="12.75">
      <c r="A138">
        <v>6</v>
      </c>
      <c r="B138" t="s">
        <v>419</v>
      </c>
      <c r="C138" t="s">
        <v>420</v>
      </c>
      <c r="D138">
        <v>140.86</v>
      </c>
      <c r="E138">
        <v>0.42</v>
      </c>
      <c r="F138">
        <v>17</v>
      </c>
      <c r="K138">
        <v>6</v>
      </c>
      <c r="L138" t="s">
        <v>419</v>
      </c>
      <c r="M138" t="s">
        <v>420</v>
      </c>
      <c r="N138">
        <v>140.86</v>
      </c>
      <c r="O138">
        <v>0.42</v>
      </c>
      <c r="P138">
        <v>17</v>
      </c>
    </row>
    <row r="139" spans="1:16" ht="12.75">
      <c r="A139">
        <v>6</v>
      </c>
      <c r="B139" t="s">
        <v>421</v>
      </c>
      <c r="C139" t="s">
        <v>422</v>
      </c>
      <c r="D139">
        <v>171.1</v>
      </c>
      <c r="E139">
        <v>0.51</v>
      </c>
      <c r="F139">
        <v>17</v>
      </c>
      <c r="K139">
        <v>6</v>
      </c>
      <c r="L139" t="s">
        <v>421</v>
      </c>
      <c r="M139" t="s">
        <v>422</v>
      </c>
      <c r="N139">
        <v>171.1</v>
      </c>
      <c r="O139">
        <v>0.51</v>
      </c>
      <c r="P139">
        <v>17</v>
      </c>
    </row>
    <row r="140" spans="1:16" ht="12.75">
      <c r="A140">
        <v>6</v>
      </c>
      <c r="B140" t="s">
        <v>423</v>
      </c>
      <c r="C140" t="s">
        <v>424</v>
      </c>
      <c r="D140">
        <v>218.76</v>
      </c>
      <c r="E140">
        <v>0.65</v>
      </c>
      <c r="F140">
        <v>17</v>
      </c>
      <c r="K140">
        <v>6</v>
      </c>
      <c r="L140" t="s">
        <v>423</v>
      </c>
      <c r="M140" t="s">
        <v>424</v>
      </c>
      <c r="N140">
        <v>218.76</v>
      </c>
      <c r="O140">
        <v>0.65</v>
      </c>
      <c r="P140">
        <v>17</v>
      </c>
    </row>
    <row r="141" spans="1:16" ht="12.75">
      <c r="A141">
        <v>6</v>
      </c>
      <c r="B141" t="s">
        <v>425</v>
      </c>
      <c r="C141" t="s">
        <v>426</v>
      </c>
      <c r="D141">
        <v>100.74</v>
      </c>
      <c r="E141">
        <v>0.3</v>
      </c>
      <c r="F141">
        <v>17</v>
      </c>
      <c r="K141">
        <v>6</v>
      </c>
      <c r="L141" t="s">
        <v>425</v>
      </c>
      <c r="M141" t="s">
        <v>426</v>
      </c>
      <c r="N141">
        <v>100.74</v>
      </c>
      <c r="O141">
        <v>0.3</v>
      </c>
      <c r="P141">
        <v>17</v>
      </c>
    </row>
    <row r="142" spans="1:16" ht="12.75">
      <c r="A142">
        <v>6</v>
      </c>
      <c r="B142" t="s">
        <v>427</v>
      </c>
      <c r="C142" t="s">
        <v>428</v>
      </c>
      <c r="D142">
        <v>53.16</v>
      </c>
      <c r="E142">
        <v>0.16</v>
      </c>
      <c r="F142">
        <v>17</v>
      </c>
      <c r="K142">
        <v>6</v>
      </c>
      <c r="L142" t="s">
        <v>427</v>
      </c>
      <c r="M142" t="s">
        <v>428</v>
      </c>
      <c r="N142">
        <v>53.16</v>
      </c>
      <c r="O142">
        <v>0.16</v>
      </c>
      <c r="P142">
        <v>17</v>
      </c>
    </row>
    <row r="143" spans="1:16" ht="12.75">
      <c r="A143">
        <v>6</v>
      </c>
      <c r="B143" t="s">
        <v>429</v>
      </c>
      <c r="C143" t="s">
        <v>430</v>
      </c>
      <c r="D143">
        <v>56</v>
      </c>
      <c r="E143">
        <v>0.17</v>
      </c>
      <c r="F143">
        <v>17</v>
      </c>
      <c r="K143">
        <v>6</v>
      </c>
      <c r="L143" t="s">
        <v>429</v>
      </c>
      <c r="M143" t="s">
        <v>430</v>
      </c>
      <c r="N143">
        <v>56</v>
      </c>
      <c r="O143">
        <v>0.17</v>
      </c>
      <c r="P143">
        <v>17</v>
      </c>
    </row>
    <row r="144" spans="1:16" ht="12.75">
      <c r="A144">
        <v>6</v>
      </c>
      <c r="B144" t="s">
        <v>431</v>
      </c>
      <c r="C144" t="s">
        <v>432</v>
      </c>
      <c r="D144">
        <v>51.61</v>
      </c>
      <c r="E144">
        <v>0.15</v>
      </c>
      <c r="F144">
        <v>17</v>
      </c>
      <c r="K144">
        <v>6</v>
      </c>
      <c r="L144" t="s">
        <v>431</v>
      </c>
      <c r="M144" t="s">
        <v>432</v>
      </c>
      <c r="N144">
        <v>51.61</v>
      </c>
      <c r="O144">
        <v>0.15</v>
      </c>
      <c r="P144">
        <v>17</v>
      </c>
    </row>
    <row r="145" spans="1:16" ht="12.75">
      <c r="A145">
        <v>6</v>
      </c>
      <c r="B145" t="s">
        <v>433</v>
      </c>
      <c r="C145" t="s">
        <v>434</v>
      </c>
      <c r="D145">
        <v>89.1</v>
      </c>
      <c r="E145">
        <v>0.27</v>
      </c>
      <c r="F145">
        <v>17</v>
      </c>
      <c r="K145">
        <v>6</v>
      </c>
      <c r="L145" t="s">
        <v>433</v>
      </c>
      <c r="M145" t="s">
        <v>434</v>
      </c>
      <c r="N145">
        <v>89.1</v>
      </c>
      <c r="O145">
        <v>0.27</v>
      </c>
      <c r="P145">
        <v>17</v>
      </c>
    </row>
    <row r="146" spans="1:16" ht="12.75">
      <c r="A146">
        <v>6</v>
      </c>
      <c r="B146" t="s">
        <v>435</v>
      </c>
      <c r="C146" t="s">
        <v>436</v>
      </c>
      <c r="D146">
        <v>155.51</v>
      </c>
      <c r="E146">
        <v>0.46</v>
      </c>
      <c r="F146">
        <v>17</v>
      </c>
      <c r="K146">
        <v>6</v>
      </c>
      <c r="L146" t="s">
        <v>435</v>
      </c>
      <c r="M146" t="s">
        <v>436</v>
      </c>
      <c r="N146">
        <v>155.51</v>
      </c>
      <c r="O146">
        <v>0.46</v>
      </c>
      <c r="P146">
        <v>17</v>
      </c>
    </row>
    <row r="147" spans="1:16" ht="12.75">
      <c r="A147">
        <v>6</v>
      </c>
      <c r="B147" t="s">
        <v>437</v>
      </c>
      <c r="C147" t="s">
        <v>438</v>
      </c>
      <c r="D147">
        <v>185.67</v>
      </c>
      <c r="E147">
        <v>0.55</v>
      </c>
      <c r="F147">
        <v>17</v>
      </c>
      <c r="K147">
        <v>6</v>
      </c>
      <c r="L147" t="s">
        <v>437</v>
      </c>
      <c r="M147" t="s">
        <v>438</v>
      </c>
      <c r="N147">
        <v>185.67</v>
      </c>
      <c r="O147">
        <v>0.55</v>
      </c>
      <c r="P147">
        <v>17</v>
      </c>
    </row>
    <row r="148" spans="1:16" ht="12.75">
      <c r="A148">
        <v>6</v>
      </c>
      <c r="B148" t="s">
        <v>439</v>
      </c>
      <c r="C148" t="s">
        <v>440</v>
      </c>
      <c r="D148">
        <v>48.49</v>
      </c>
      <c r="E148">
        <v>0.14</v>
      </c>
      <c r="F148">
        <v>17</v>
      </c>
      <c r="K148">
        <v>6</v>
      </c>
      <c r="L148" t="s">
        <v>439</v>
      </c>
      <c r="M148" t="s">
        <v>440</v>
      </c>
      <c r="N148">
        <v>48.49</v>
      </c>
      <c r="O148">
        <v>0.14</v>
      </c>
      <c r="P148">
        <v>17</v>
      </c>
    </row>
    <row r="149" spans="1:16" ht="12.75">
      <c r="A149">
        <v>6</v>
      </c>
      <c r="B149" t="s">
        <v>441</v>
      </c>
      <c r="C149" t="s">
        <v>442</v>
      </c>
      <c r="D149">
        <v>1327</v>
      </c>
      <c r="E149">
        <v>3.95</v>
      </c>
      <c r="F149">
        <v>17</v>
      </c>
      <c r="K149">
        <v>6</v>
      </c>
      <c r="L149" t="s">
        <v>441</v>
      </c>
      <c r="M149" t="s">
        <v>442</v>
      </c>
      <c r="N149">
        <v>1327</v>
      </c>
      <c r="O149">
        <v>3.95</v>
      </c>
      <c r="P149">
        <v>17</v>
      </c>
    </row>
    <row r="150" spans="1:16" ht="12.75">
      <c r="A150">
        <v>6</v>
      </c>
      <c r="B150" t="s">
        <v>443</v>
      </c>
      <c r="C150" t="s">
        <v>444</v>
      </c>
      <c r="D150">
        <v>161</v>
      </c>
      <c r="E150">
        <v>0.48</v>
      </c>
      <c r="F150">
        <v>17</v>
      </c>
      <c r="K150">
        <v>6</v>
      </c>
      <c r="L150" t="s">
        <v>443</v>
      </c>
      <c r="M150" t="s">
        <v>444</v>
      </c>
      <c r="N150">
        <v>161</v>
      </c>
      <c r="O150">
        <v>0.48</v>
      </c>
      <c r="P150">
        <v>17</v>
      </c>
    </row>
    <row r="151" spans="1:16" ht="12.75">
      <c r="A151">
        <v>6</v>
      </c>
      <c r="B151" t="s">
        <v>445</v>
      </c>
      <c r="C151" t="s">
        <v>446</v>
      </c>
      <c r="D151">
        <v>70</v>
      </c>
      <c r="E151">
        <v>0.21</v>
      </c>
      <c r="F151">
        <v>17</v>
      </c>
      <c r="K151">
        <v>6</v>
      </c>
      <c r="L151" t="s">
        <v>445</v>
      </c>
      <c r="M151" t="s">
        <v>446</v>
      </c>
      <c r="N151">
        <v>70</v>
      </c>
      <c r="O151">
        <v>0.21</v>
      </c>
      <c r="P151">
        <v>17</v>
      </c>
    </row>
    <row r="152" spans="1:16" ht="12.75">
      <c r="A152">
        <v>6</v>
      </c>
      <c r="B152" t="s">
        <v>447</v>
      </c>
      <c r="C152" t="s">
        <v>448</v>
      </c>
      <c r="D152">
        <v>396.81</v>
      </c>
      <c r="E152">
        <v>1.18</v>
      </c>
      <c r="F152">
        <v>17</v>
      </c>
      <c r="K152">
        <v>6</v>
      </c>
      <c r="L152" t="s">
        <v>447</v>
      </c>
      <c r="M152" t="s">
        <v>448</v>
      </c>
      <c r="N152">
        <v>396.81</v>
      </c>
      <c r="O152">
        <v>1.18</v>
      </c>
      <c r="P152">
        <v>17</v>
      </c>
    </row>
    <row r="153" spans="1:16" ht="12.75">
      <c r="A153">
        <v>6</v>
      </c>
      <c r="B153" t="s">
        <v>449</v>
      </c>
      <c r="C153" t="s">
        <v>450</v>
      </c>
      <c r="D153">
        <v>894.46</v>
      </c>
      <c r="E153">
        <v>2.66</v>
      </c>
      <c r="F153">
        <v>17</v>
      </c>
      <c r="K153">
        <v>6</v>
      </c>
      <c r="L153" t="s">
        <v>449</v>
      </c>
      <c r="M153" t="s">
        <v>450</v>
      </c>
      <c r="N153">
        <v>894.46</v>
      </c>
      <c r="O153">
        <v>2.66</v>
      </c>
      <c r="P153">
        <v>17</v>
      </c>
    </row>
    <row r="154" spans="1:16" ht="12.75">
      <c r="A154">
        <v>6</v>
      </c>
      <c r="B154" t="s">
        <v>451</v>
      </c>
      <c r="C154" t="s">
        <v>452</v>
      </c>
      <c r="D154">
        <v>937.73</v>
      </c>
      <c r="E154">
        <v>2.79</v>
      </c>
      <c r="F154">
        <v>17</v>
      </c>
      <c r="K154">
        <v>6</v>
      </c>
      <c r="L154" t="s">
        <v>451</v>
      </c>
      <c r="M154" t="s">
        <v>452</v>
      </c>
      <c r="N154">
        <v>937.73</v>
      </c>
      <c r="O154">
        <v>2.79</v>
      </c>
      <c r="P154">
        <v>17</v>
      </c>
    </row>
    <row r="155" spans="1:19" ht="12.75">
      <c r="A155">
        <v>6</v>
      </c>
      <c r="B155" t="s">
        <v>453</v>
      </c>
      <c r="C155" t="s">
        <v>454</v>
      </c>
      <c r="D155">
        <v>118.93</v>
      </c>
      <c r="E155">
        <v>0.35</v>
      </c>
      <c r="F155">
        <v>17</v>
      </c>
      <c r="G155" s="133" t="s">
        <v>455</v>
      </c>
      <c r="H155" s="133" t="s">
        <v>146</v>
      </c>
      <c r="K155">
        <v>6</v>
      </c>
      <c r="L155" t="s">
        <v>453</v>
      </c>
      <c r="M155" t="s">
        <v>454</v>
      </c>
      <c r="N155">
        <v>118.93</v>
      </c>
      <c r="O155">
        <v>0.35</v>
      </c>
      <c r="P155">
        <v>17</v>
      </c>
      <c r="Q155" s="133" t="s">
        <v>13</v>
      </c>
      <c r="R155" s="133" t="s">
        <v>13</v>
      </c>
      <c r="S155" s="133"/>
    </row>
    <row r="156" spans="1:16" ht="12.75">
      <c r="A156">
        <v>6</v>
      </c>
      <c r="B156" t="s">
        <v>456</v>
      </c>
      <c r="C156" t="s">
        <v>457</v>
      </c>
      <c r="D156">
        <v>669.79</v>
      </c>
      <c r="E156">
        <v>1.99</v>
      </c>
      <c r="F156">
        <v>17</v>
      </c>
      <c r="K156">
        <v>6</v>
      </c>
      <c r="L156" t="s">
        <v>456</v>
      </c>
      <c r="M156" t="s">
        <v>457</v>
      </c>
      <c r="N156">
        <v>669.79</v>
      </c>
      <c r="O156">
        <v>1.99</v>
      </c>
      <c r="P156">
        <v>17</v>
      </c>
    </row>
    <row r="157" spans="1:20" ht="12.75">
      <c r="A157" s="19">
        <v>6</v>
      </c>
      <c r="B157" s="19" t="s">
        <v>458</v>
      </c>
      <c r="C157" s="19" t="s">
        <v>459</v>
      </c>
      <c r="D157" s="19">
        <v>190.29</v>
      </c>
      <c r="E157" s="19">
        <v>0.57</v>
      </c>
      <c r="F157" s="19">
        <v>17</v>
      </c>
      <c r="G157" s="19">
        <f>SUM(D3:D157)</f>
        <v>46414.02000000001</v>
      </c>
      <c r="H157" s="19">
        <f>G157/D2*1000</f>
        <v>138.1728768968435</v>
      </c>
      <c r="I157" s="19">
        <v>17</v>
      </c>
      <c r="K157" s="19">
        <v>6</v>
      </c>
      <c r="L157" s="19" t="s">
        <v>458</v>
      </c>
      <c r="M157" s="19" t="s">
        <v>459</v>
      </c>
      <c r="N157" s="19">
        <v>190.29</v>
      </c>
      <c r="O157" s="19">
        <v>0.57</v>
      </c>
      <c r="P157" s="19">
        <v>17</v>
      </c>
      <c r="Q157" s="19">
        <f>SUM(N3:N157)</f>
        <v>46414.02000000001</v>
      </c>
      <c r="R157" s="19">
        <f>SUM(O3:O157)</f>
        <v>138.16000000000003</v>
      </c>
      <c r="S157" s="9"/>
      <c r="T157" s="9"/>
    </row>
    <row r="158" spans="1:15" ht="12.75">
      <c r="A158">
        <v>6</v>
      </c>
      <c r="B158" t="s">
        <v>460</v>
      </c>
      <c r="C158" t="s">
        <v>461</v>
      </c>
      <c r="D158">
        <v>4480</v>
      </c>
      <c r="E158">
        <v>13.34</v>
      </c>
      <c r="F158">
        <v>22</v>
      </c>
      <c r="N158">
        <f>SUM(N3:N157)</f>
        <v>46414.02000000001</v>
      </c>
      <c r="O158" s="1">
        <f>SUM(O3:O157)</f>
        <v>138.16000000000003</v>
      </c>
    </row>
    <row r="159" spans="1:16" ht="12.75">
      <c r="A159">
        <v>6</v>
      </c>
      <c r="B159" t="s">
        <v>462</v>
      </c>
      <c r="C159" t="s">
        <v>463</v>
      </c>
      <c r="D159">
        <v>2701.43</v>
      </c>
      <c r="E159">
        <v>8.04</v>
      </c>
      <c r="F159">
        <v>22</v>
      </c>
      <c r="K159">
        <v>6</v>
      </c>
      <c r="L159" t="s">
        <v>460</v>
      </c>
      <c r="M159" t="s">
        <v>461</v>
      </c>
      <c r="N159">
        <v>4480</v>
      </c>
      <c r="O159">
        <v>13.34</v>
      </c>
      <c r="P159">
        <v>22</v>
      </c>
    </row>
    <row r="160" spans="1:16" ht="12.75">
      <c r="A160">
        <v>6</v>
      </c>
      <c r="B160" t="s">
        <v>464</v>
      </c>
      <c r="C160" t="s">
        <v>465</v>
      </c>
      <c r="D160">
        <v>1023.57</v>
      </c>
      <c r="E160">
        <v>3.05</v>
      </c>
      <c r="F160">
        <v>22</v>
      </c>
      <c r="K160">
        <v>6</v>
      </c>
      <c r="L160" t="s">
        <v>462</v>
      </c>
      <c r="M160" t="s">
        <v>463</v>
      </c>
      <c r="N160">
        <v>2701.43</v>
      </c>
      <c r="O160">
        <v>8.04</v>
      </c>
      <c r="P160">
        <v>22</v>
      </c>
    </row>
    <row r="161" spans="1:16" ht="12.75">
      <c r="A161">
        <v>6</v>
      </c>
      <c r="B161" t="s">
        <v>466</v>
      </c>
      <c r="C161" t="s">
        <v>467</v>
      </c>
      <c r="D161">
        <v>5632</v>
      </c>
      <c r="E161">
        <v>16.77</v>
      </c>
      <c r="F161">
        <v>22</v>
      </c>
      <c r="K161">
        <v>6</v>
      </c>
      <c r="L161" t="s">
        <v>464</v>
      </c>
      <c r="M161" t="s">
        <v>465</v>
      </c>
      <c r="N161">
        <v>1023.57</v>
      </c>
      <c r="O161">
        <v>3.05</v>
      </c>
      <c r="P161">
        <v>22</v>
      </c>
    </row>
    <row r="162" spans="1:16" ht="12.75">
      <c r="A162">
        <v>6</v>
      </c>
      <c r="B162" t="s">
        <v>468</v>
      </c>
      <c r="C162" t="s">
        <v>469</v>
      </c>
      <c r="D162">
        <v>5452.78</v>
      </c>
      <c r="E162">
        <v>16.23</v>
      </c>
      <c r="F162">
        <v>22</v>
      </c>
      <c r="K162">
        <v>6</v>
      </c>
      <c r="L162" t="s">
        <v>466</v>
      </c>
      <c r="M162" t="s">
        <v>467</v>
      </c>
      <c r="N162">
        <v>5632</v>
      </c>
      <c r="O162">
        <v>16.77</v>
      </c>
      <c r="P162">
        <v>22</v>
      </c>
    </row>
    <row r="163" spans="1:16" ht="12.75">
      <c r="A163">
        <v>6</v>
      </c>
      <c r="B163" t="s">
        <v>470</v>
      </c>
      <c r="C163" t="s">
        <v>471</v>
      </c>
      <c r="D163">
        <v>222.13</v>
      </c>
      <c r="E163">
        <v>0.66</v>
      </c>
      <c r="F163">
        <v>22</v>
      </c>
      <c r="K163">
        <v>6</v>
      </c>
      <c r="L163" t="s">
        <v>468</v>
      </c>
      <c r="M163" t="s">
        <v>469</v>
      </c>
      <c r="N163">
        <v>5452.78</v>
      </c>
      <c r="O163">
        <v>16.23</v>
      </c>
      <c r="P163">
        <v>22</v>
      </c>
    </row>
    <row r="164" spans="1:20" ht="12.75">
      <c r="A164" s="19">
        <v>6</v>
      </c>
      <c r="B164" s="19" t="s">
        <v>472</v>
      </c>
      <c r="C164" s="19" t="s">
        <v>473</v>
      </c>
      <c r="D164" s="19">
        <v>536.09</v>
      </c>
      <c r="E164" s="19">
        <v>1.6</v>
      </c>
      <c r="F164" s="19">
        <v>22</v>
      </c>
      <c r="G164" s="19">
        <v>20048</v>
      </c>
      <c r="H164" s="19">
        <v>59.68</v>
      </c>
      <c r="I164" s="19">
        <v>22</v>
      </c>
      <c r="K164">
        <v>6</v>
      </c>
      <c r="L164" t="s">
        <v>470</v>
      </c>
      <c r="M164" t="s">
        <v>471</v>
      </c>
      <c r="N164">
        <v>222.13</v>
      </c>
      <c r="O164">
        <v>0.66</v>
      </c>
      <c r="P164">
        <v>22</v>
      </c>
      <c r="T164" s="9"/>
    </row>
    <row r="165" spans="1:19" ht="12.75">
      <c r="A165">
        <v>6</v>
      </c>
      <c r="B165" t="s">
        <v>474</v>
      </c>
      <c r="C165" t="s">
        <v>475</v>
      </c>
      <c r="D165">
        <v>471</v>
      </c>
      <c r="E165">
        <v>1.4</v>
      </c>
      <c r="F165">
        <v>22</v>
      </c>
      <c r="K165" s="19">
        <v>6</v>
      </c>
      <c r="L165" s="19" t="s">
        <v>472</v>
      </c>
      <c r="M165" s="19" t="s">
        <v>473</v>
      </c>
      <c r="N165" s="19">
        <v>536.09</v>
      </c>
      <c r="O165" s="19">
        <v>1.6</v>
      </c>
      <c r="P165" s="19">
        <v>22</v>
      </c>
      <c r="Q165" s="19" t="s">
        <v>13</v>
      </c>
      <c r="R165" s="19" t="s">
        <v>13</v>
      </c>
      <c r="S165" s="9"/>
    </row>
    <row r="166" spans="1:16" ht="12.75">
      <c r="A166">
        <v>6</v>
      </c>
      <c r="B166" t="s">
        <v>476</v>
      </c>
      <c r="C166" t="s">
        <v>477</v>
      </c>
      <c r="D166">
        <v>396.81</v>
      </c>
      <c r="E166">
        <v>1.18</v>
      </c>
      <c r="F166">
        <v>22</v>
      </c>
      <c r="K166">
        <v>6</v>
      </c>
      <c r="L166" t="s">
        <v>474</v>
      </c>
      <c r="M166" t="s">
        <v>475</v>
      </c>
      <c r="N166">
        <v>471</v>
      </c>
      <c r="O166">
        <v>1.4</v>
      </c>
      <c r="P166">
        <v>22</v>
      </c>
    </row>
    <row r="167" spans="1:16" ht="12.75">
      <c r="A167">
        <v>6</v>
      </c>
      <c r="B167" t="s">
        <v>478</v>
      </c>
      <c r="C167" t="s">
        <v>479</v>
      </c>
      <c r="D167">
        <v>396.81</v>
      </c>
      <c r="E167">
        <v>1.18</v>
      </c>
      <c r="F167">
        <v>22</v>
      </c>
      <c r="K167">
        <v>6</v>
      </c>
      <c r="L167" t="s">
        <v>476</v>
      </c>
      <c r="M167" t="s">
        <v>477</v>
      </c>
      <c r="N167">
        <v>396.81</v>
      </c>
      <c r="O167">
        <v>1.18</v>
      </c>
      <c r="P167">
        <v>22</v>
      </c>
    </row>
    <row r="168" spans="1:16" ht="12.75">
      <c r="A168">
        <v>6</v>
      </c>
      <c r="B168" t="s">
        <v>480</v>
      </c>
      <c r="C168" t="s">
        <v>481</v>
      </c>
      <c r="D168">
        <v>264.54</v>
      </c>
      <c r="E168">
        <v>0.79</v>
      </c>
      <c r="F168">
        <v>22</v>
      </c>
      <c r="K168">
        <v>6</v>
      </c>
      <c r="L168" t="s">
        <v>478</v>
      </c>
      <c r="M168" t="s">
        <v>479</v>
      </c>
      <c r="N168">
        <v>396.81</v>
      </c>
      <c r="O168">
        <v>1.18</v>
      </c>
      <c r="P168">
        <v>22</v>
      </c>
    </row>
    <row r="169" spans="1:16" ht="12.75">
      <c r="A169">
        <v>6</v>
      </c>
      <c r="B169" t="s">
        <v>482</v>
      </c>
      <c r="C169" t="s">
        <v>483</v>
      </c>
      <c r="D169">
        <v>252.61</v>
      </c>
      <c r="E169">
        <v>0.75</v>
      </c>
      <c r="F169">
        <v>22</v>
      </c>
      <c r="K169">
        <v>6</v>
      </c>
      <c r="L169" t="s">
        <v>480</v>
      </c>
      <c r="M169" t="s">
        <v>481</v>
      </c>
      <c r="N169">
        <v>264.54</v>
      </c>
      <c r="O169">
        <v>0.79</v>
      </c>
      <c r="P169">
        <v>22</v>
      </c>
    </row>
    <row r="170" spans="1:16" ht="12.75">
      <c r="A170">
        <v>6</v>
      </c>
      <c r="B170" t="s">
        <v>484</v>
      </c>
      <c r="C170" t="s">
        <v>485</v>
      </c>
      <c r="D170">
        <v>159.99</v>
      </c>
      <c r="E170">
        <v>0.48</v>
      </c>
      <c r="F170">
        <v>22</v>
      </c>
      <c r="K170">
        <v>6</v>
      </c>
      <c r="L170" t="s">
        <v>482</v>
      </c>
      <c r="M170" t="s">
        <v>483</v>
      </c>
      <c r="N170">
        <v>252.61</v>
      </c>
      <c r="O170">
        <v>0.75</v>
      </c>
      <c r="P170">
        <v>22</v>
      </c>
    </row>
    <row r="171" spans="1:16" ht="12.75">
      <c r="A171">
        <v>6</v>
      </c>
      <c r="B171" t="s">
        <v>486</v>
      </c>
      <c r="C171" t="s">
        <v>487</v>
      </c>
      <c r="D171">
        <v>152.5</v>
      </c>
      <c r="E171">
        <v>0.45</v>
      </c>
      <c r="F171">
        <v>22</v>
      </c>
      <c r="K171">
        <v>6</v>
      </c>
      <c r="L171" t="s">
        <v>484</v>
      </c>
      <c r="M171" t="s">
        <v>485</v>
      </c>
      <c r="N171">
        <v>159.99</v>
      </c>
      <c r="O171">
        <v>0.48</v>
      </c>
      <c r="P171">
        <v>22</v>
      </c>
    </row>
    <row r="172" spans="1:16" ht="12.75">
      <c r="A172">
        <v>6</v>
      </c>
      <c r="B172" t="s">
        <v>488</v>
      </c>
      <c r="C172" t="s">
        <v>489</v>
      </c>
      <c r="D172">
        <v>152.5</v>
      </c>
      <c r="E172">
        <v>0.45</v>
      </c>
      <c r="F172">
        <v>22</v>
      </c>
      <c r="K172">
        <v>6</v>
      </c>
      <c r="L172" t="s">
        <v>486</v>
      </c>
      <c r="M172" t="s">
        <v>487</v>
      </c>
      <c r="N172">
        <v>152.5</v>
      </c>
      <c r="O172">
        <v>0.45</v>
      </c>
      <c r="P172">
        <v>22</v>
      </c>
    </row>
    <row r="173" spans="1:16" ht="12.75">
      <c r="A173">
        <v>6</v>
      </c>
      <c r="B173" t="s">
        <v>490</v>
      </c>
      <c r="C173" t="s">
        <v>491</v>
      </c>
      <c r="D173">
        <v>152.5</v>
      </c>
      <c r="E173">
        <v>0.45</v>
      </c>
      <c r="F173">
        <v>22</v>
      </c>
      <c r="K173">
        <v>6</v>
      </c>
      <c r="L173" t="s">
        <v>488</v>
      </c>
      <c r="M173" t="s">
        <v>489</v>
      </c>
      <c r="N173">
        <v>152.5</v>
      </c>
      <c r="O173">
        <v>0.45</v>
      </c>
      <c r="P173">
        <v>22</v>
      </c>
    </row>
    <row r="174" spans="1:16" ht="12.75">
      <c r="A174">
        <v>6</v>
      </c>
      <c r="B174" t="s">
        <v>492</v>
      </c>
      <c r="C174" t="s">
        <v>493</v>
      </c>
      <c r="D174">
        <v>213.31</v>
      </c>
      <c r="E174">
        <v>0.64</v>
      </c>
      <c r="F174">
        <v>22</v>
      </c>
      <c r="K174">
        <v>6</v>
      </c>
      <c r="L174" t="s">
        <v>490</v>
      </c>
      <c r="M174" t="s">
        <v>491</v>
      </c>
      <c r="N174">
        <v>152.5</v>
      </c>
      <c r="O174">
        <v>0.45</v>
      </c>
      <c r="P174">
        <v>22</v>
      </c>
    </row>
    <row r="175" spans="1:16" ht="12.75">
      <c r="A175">
        <v>6</v>
      </c>
      <c r="B175" t="s">
        <v>494</v>
      </c>
      <c r="C175" t="s">
        <v>495</v>
      </c>
      <c r="D175">
        <v>101.04</v>
      </c>
      <c r="E175">
        <v>0.3</v>
      </c>
      <c r="F175">
        <v>22</v>
      </c>
      <c r="K175">
        <v>6</v>
      </c>
      <c r="L175" t="s">
        <v>492</v>
      </c>
      <c r="M175" t="s">
        <v>493</v>
      </c>
      <c r="N175">
        <v>213.31</v>
      </c>
      <c r="O175">
        <v>0.64</v>
      </c>
      <c r="P175">
        <v>22</v>
      </c>
    </row>
    <row r="176" spans="1:16" ht="12.75">
      <c r="A176">
        <v>6</v>
      </c>
      <c r="B176" t="s">
        <v>496</v>
      </c>
      <c r="C176" t="s">
        <v>497</v>
      </c>
      <c r="D176">
        <v>343.58</v>
      </c>
      <c r="E176">
        <v>1.02</v>
      </c>
      <c r="F176">
        <v>22</v>
      </c>
      <c r="K176">
        <v>6</v>
      </c>
      <c r="L176" t="s">
        <v>494</v>
      </c>
      <c r="M176" t="s">
        <v>495</v>
      </c>
      <c r="N176">
        <v>101.04</v>
      </c>
      <c r="O176">
        <v>0.3</v>
      </c>
      <c r="P176">
        <v>22</v>
      </c>
    </row>
    <row r="177" spans="1:16" ht="12.75">
      <c r="A177">
        <v>6</v>
      </c>
      <c r="B177" t="s">
        <v>498</v>
      </c>
      <c r="C177" t="s">
        <v>499</v>
      </c>
      <c r="D177">
        <v>306.44</v>
      </c>
      <c r="E177">
        <v>0.91</v>
      </c>
      <c r="F177">
        <v>22</v>
      </c>
      <c r="K177">
        <v>6</v>
      </c>
      <c r="L177" t="s">
        <v>496</v>
      </c>
      <c r="M177" t="s">
        <v>497</v>
      </c>
      <c r="N177">
        <v>343.58</v>
      </c>
      <c r="O177">
        <v>1.02</v>
      </c>
      <c r="P177">
        <v>22</v>
      </c>
    </row>
    <row r="178" spans="1:16" ht="12.75">
      <c r="A178">
        <v>6</v>
      </c>
      <c r="B178" t="s">
        <v>500</v>
      </c>
      <c r="C178" t="s">
        <v>501</v>
      </c>
      <c r="D178">
        <v>55.72</v>
      </c>
      <c r="E178">
        <v>0.17</v>
      </c>
      <c r="F178">
        <v>22</v>
      </c>
      <c r="K178">
        <v>6</v>
      </c>
      <c r="L178" t="s">
        <v>498</v>
      </c>
      <c r="M178" t="s">
        <v>499</v>
      </c>
      <c r="N178">
        <v>306.44</v>
      </c>
      <c r="O178">
        <v>0.91</v>
      </c>
      <c r="P178">
        <v>22</v>
      </c>
    </row>
    <row r="179" spans="1:16" ht="12.75">
      <c r="A179">
        <v>6</v>
      </c>
      <c r="B179" t="s">
        <v>502</v>
      </c>
      <c r="C179" t="s">
        <v>503</v>
      </c>
      <c r="D179">
        <v>297.52</v>
      </c>
      <c r="E179">
        <v>0.89</v>
      </c>
      <c r="F179">
        <v>22</v>
      </c>
      <c r="K179">
        <v>6</v>
      </c>
      <c r="L179" t="s">
        <v>500</v>
      </c>
      <c r="M179" t="s">
        <v>501</v>
      </c>
      <c r="N179">
        <v>55.72</v>
      </c>
      <c r="O179">
        <v>0.17</v>
      </c>
      <c r="P179">
        <v>22</v>
      </c>
    </row>
    <row r="180" spans="1:16" ht="12.75">
      <c r="A180">
        <v>6</v>
      </c>
      <c r="B180" t="s">
        <v>504</v>
      </c>
      <c r="C180" t="s">
        <v>505</v>
      </c>
      <c r="D180">
        <v>501.47</v>
      </c>
      <c r="E180">
        <v>1.49</v>
      </c>
      <c r="F180">
        <v>22</v>
      </c>
      <c r="K180">
        <v>6</v>
      </c>
      <c r="L180" t="s">
        <v>502</v>
      </c>
      <c r="M180" t="s">
        <v>503</v>
      </c>
      <c r="N180">
        <v>297.52</v>
      </c>
      <c r="O180">
        <v>0.89</v>
      </c>
      <c r="P180">
        <v>22</v>
      </c>
    </row>
    <row r="181" spans="1:16" ht="12.75">
      <c r="A181">
        <v>6</v>
      </c>
      <c r="B181" t="s">
        <v>506</v>
      </c>
      <c r="C181" t="s">
        <v>507</v>
      </c>
      <c r="D181">
        <v>250.74</v>
      </c>
      <c r="E181">
        <v>0.75</v>
      </c>
      <c r="F181">
        <v>22</v>
      </c>
      <c r="K181">
        <v>6</v>
      </c>
      <c r="L181" t="s">
        <v>504</v>
      </c>
      <c r="M181" t="s">
        <v>505</v>
      </c>
      <c r="N181">
        <v>501.47</v>
      </c>
      <c r="O181">
        <v>1.49</v>
      </c>
      <c r="P181">
        <v>22</v>
      </c>
    </row>
    <row r="182" spans="1:16" ht="12.75">
      <c r="A182">
        <v>6</v>
      </c>
      <c r="B182" t="s">
        <v>508</v>
      </c>
      <c r="C182" t="s">
        <v>509</v>
      </c>
      <c r="D182">
        <v>255.47</v>
      </c>
      <c r="E182">
        <v>0.76</v>
      </c>
      <c r="F182">
        <v>22</v>
      </c>
      <c r="K182">
        <v>6</v>
      </c>
      <c r="L182" t="s">
        <v>506</v>
      </c>
      <c r="M182" t="s">
        <v>507</v>
      </c>
      <c r="N182">
        <v>250.74</v>
      </c>
      <c r="O182">
        <v>0.75</v>
      </c>
      <c r="P182">
        <v>22</v>
      </c>
    </row>
    <row r="183" spans="1:16" ht="12.75">
      <c r="A183">
        <v>6</v>
      </c>
      <c r="B183" t="s">
        <v>510</v>
      </c>
      <c r="C183" t="s">
        <v>511</v>
      </c>
      <c r="D183">
        <v>531.8</v>
      </c>
      <c r="E183">
        <v>1.58</v>
      </c>
      <c r="F183">
        <v>22</v>
      </c>
      <c r="K183">
        <v>6</v>
      </c>
      <c r="L183" t="s">
        <v>508</v>
      </c>
      <c r="M183" t="s">
        <v>509</v>
      </c>
      <c r="N183">
        <v>255.47</v>
      </c>
      <c r="O183">
        <v>0.76</v>
      </c>
      <c r="P183">
        <v>22</v>
      </c>
    </row>
    <row r="184" spans="1:16" ht="12.75">
      <c r="A184">
        <v>6</v>
      </c>
      <c r="B184" t="s">
        <v>512</v>
      </c>
      <c r="C184" t="s">
        <v>513</v>
      </c>
      <c r="D184">
        <v>510.95</v>
      </c>
      <c r="E184">
        <v>1.52</v>
      </c>
      <c r="F184">
        <v>22</v>
      </c>
      <c r="K184">
        <v>6</v>
      </c>
      <c r="L184" t="s">
        <v>510</v>
      </c>
      <c r="M184" t="s">
        <v>511</v>
      </c>
      <c r="N184">
        <v>531.8</v>
      </c>
      <c r="O184">
        <v>1.58</v>
      </c>
      <c r="P184">
        <v>22</v>
      </c>
    </row>
    <row r="185" spans="1:16" ht="12.75">
      <c r="A185">
        <v>6</v>
      </c>
      <c r="B185" t="s">
        <v>514</v>
      </c>
      <c r="C185" t="s">
        <v>515</v>
      </c>
      <c r="D185">
        <v>1063.61</v>
      </c>
      <c r="E185">
        <v>3.17</v>
      </c>
      <c r="F185">
        <v>22</v>
      </c>
      <c r="K185">
        <v>6</v>
      </c>
      <c r="L185" t="s">
        <v>512</v>
      </c>
      <c r="M185" t="s">
        <v>513</v>
      </c>
      <c r="N185">
        <v>510.95</v>
      </c>
      <c r="O185">
        <v>1.52</v>
      </c>
      <c r="P185">
        <v>22</v>
      </c>
    </row>
    <row r="186" spans="1:16" ht="12.75">
      <c r="A186">
        <v>6</v>
      </c>
      <c r="B186" t="s">
        <v>516</v>
      </c>
      <c r="C186" t="s">
        <v>517</v>
      </c>
      <c r="D186">
        <v>234.62</v>
      </c>
      <c r="E186">
        <v>0.7</v>
      </c>
      <c r="F186">
        <v>22</v>
      </c>
      <c r="K186">
        <v>6</v>
      </c>
      <c r="L186" t="s">
        <v>514</v>
      </c>
      <c r="M186" t="s">
        <v>515</v>
      </c>
      <c r="N186">
        <v>1063.61</v>
      </c>
      <c r="O186">
        <v>3.17</v>
      </c>
      <c r="P186">
        <v>22</v>
      </c>
    </row>
    <row r="187" spans="1:16" ht="12.75">
      <c r="A187">
        <v>6</v>
      </c>
      <c r="B187" t="s">
        <v>518</v>
      </c>
      <c r="C187" t="s">
        <v>519</v>
      </c>
      <c r="D187">
        <v>455.16</v>
      </c>
      <c r="E187">
        <v>1.35</v>
      </c>
      <c r="F187">
        <v>22</v>
      </c>
      <c r="K187">
        <v>6</v>
      </c>
      <c r="L187" t="s">
        <v>516</v>
      </c>
      <c r="M187" t="s">
        <v>517</v>
      </c>
      <c r="N187">
        <v>234.62</v>
      </c>
      <c r="O187">
        <v>0.7</v>
      </c>
      <c r="P187">
        <v>22</v>
      </c>
    </row>
    <row r="188" spans="1:16" ht="12.75">
      <c r="A188">
        <v>6</v>
      </c>
      <c r="B188" t="s">
        <v>520</v>
      </c>
      <c r="C188" t="s">
        <v>521</v>
      </c>
      <c r="D188">
        <v>253.39</v>
      </c>
      <c r="E188">
        <v>0.75</v>
      </c>
      <c r="F188">
        <v>22</v>
      </c>
      <c r="K188">
        <v>6</v>
      </c>
      <c r="L188" t="s">
        <v>518</v>
      </c>
      <c r="M188" t="s">
        <v>519</v>
      </c>
      <c r="N188">
        <v>455.16</v>
      </c>
      <c r="O188">
        <v>1.35</v>
      </c>
      <c r="P188">
        <v>22</v>
      </c>
    </row>
    <row r="189" spans="1:16" ht="12.75">
      <c r="A189">
        <v>6</v>
      </c>
      <c r="B189" t="s">
        <v>522</v>
      </c>
      <c r="C189" t="s">
        <v>523</v>
      </c>
      <c r="D189">
        <v>455.16</v>
      </c>
      <c r="E189">
        <v>1.35</v>
      </c>
      <c r="F189">
        <v>22</v>
      </c>
      <c r="K189">
        <v>6</v>
      </c>
      <c r="L189" t="s">
        <v>520</v>
      </c>
      <c r="M189" t="s">
        <v>521</v>
      </c>
      <c r="N189">
        <v>253.39</v>
      </c>
      <c r="O189">
        <v>0.75</v>
      </c>
      <c r="P189">
        <v>22</v>
      </c>
    </row>
    <row r="190" spans="1:16" ht="12.75">
      <c r="A190">
        <v>6</v>
      </c>
      <c r="B190" t="s">
        <v>524</v>
      </c>
      <c r="C190" t="s">
        <v>525</v>
      </c>
      <c r="D190">
        <v>234.62</v>
      </c>
      <c r="E190">
        <v>0.7</v>
      </c>
      <c r="F190">
        <v>22</v>
      </c>
      <c r="K190">
        <v>6</v>
      </c>
      <c r="L190" t="s">
        <v>522</v>
      </c>
      <c r="M190" t="s">
        <v>523</v>
      </c>
      <c r="N190">
        <v>455.16</v>
      </c>
      <c r="O190">
        <v>1.35</v>
      </c>
      <c r="P190">
        <v>22</v>
      </c>
    </row>
    <row r="191" spans="1:16" ht="12.75">
      <c r="A191">
        <v>6</v>
      </c>
      <c r="B191" t="s">
        <v>526</v>
      </c>
      <c r="C191" t="s">
        <v>527</v>
      </c>
      <c r="D191">
        <v>418.43</v>
      </c>
      <c r="E191">
        <v>1.25</v>
      </c>
      <c r="F191">
        <v>22</v>
      </c>
      <c r="K191">
        <v>6</v>
      </c>
      <c r="L191" t="s">
        <v>524</v>
      </c>
      <c r="M191" t="s">
        <v>525</v>
      </c>
      <c r="N191">
        <v>234.62</v>
      </c>
      <c r="O191">
        <v>0.7</v>
      </c>
      <c r="P191">
        <v>22</v>
      </c>
    </row>
    <row r="192" spans="1:16" ht="12.75">
      <c r="A192">
        <v>6</v>
      </c>
      <c r="B192" t="s">
        <v>528</v>
      </c>
      <c r="C192" t="s">
        <v>529</v>
      </c>
      <c r="D192">
        <v>418.43</v>
      </c>
      <c r="E192">
        <v>1.25</v>
      </c>
      <c r="F192">
        <v>22</v>
      </c>
      <c r="K192">
        <v>6</v>
      </c>
      <c r="L192" t="s">
        <v>526</v>
      </c>
      <c r="M192" t="s">
        <v>527</v>
      </c>
      <c r="N192">
        <v>418.43</v>
      </c>
      <c r="O192">
        <v>1.25</v>
      </c>
      <c r="P192">
        <v>22</v>
      </c>
    </row>
    <row r="193" spans="1:16" ht="12.75">
      <c r="A193">
        <v>6</v>
      </c>
      <c r="B193" t="s">
        <v>530</v>
      </c>
      <c r="C193" t="s">
        <v>531</v>
      </c>
      <c r="D193">
        <v>158.11</v>
      </c>
      <c r="E193">
        <v>0.47</v>
      </c>
      <c r="F193">
        <v>22</v>
      </c>
      <c r="K193">
        <v>6</v>
      </c>
      <c r="L193" t="s">
        <v>528</v>
      </c>
      <c r="M193" t="s">
        <v>529</v>
      </c>
      <c r="N193">
        <v>418.43</v>
      </c>
      <c r="O193">
        <v>1.25</v>
      </c>
      <c r="P193">
        <v>22</v>
      </c>
    </row>
    <row r="194" spans="1:16" ht="12.75">
      <c r="A194">
        <v>6</v>
      </c>
      <c r="B194" t="s">
        <v>532</v>
      </c>
      <c r="C194" t="s">
        <v>533</v>
      </c>
      <c r="D194">
        <v>100.27</v>
      </c>
      <c r="E194">
        <v>0.3</v>
      </c>
      <c r="F194">
        <v>22</v>
      </c>
      <c r="K194">
        <v>6</v>
      </c>
      <c r="L194" t="s">
        <v>530</v>
      </c>
      <c r="M194" t="s">
        <v>531</v>
      </c>
      <c r="N194">
        <v>158.11</v>
      </c>
      <c r="O194">
        <v>0.47</v>
      </c>
      <c r="P194">
        <v>22</v>
      </c>
    </row>
    <row r="195" spans="1:16" ht="12.75">
      <c r="A195">
        <v>6</v>
      </c>
      <c r="B195" t="s">
        <v>534</v>
      </c>
      <c r="C195" t="s">
        <v>535</v>
      </c>
      <c r="D195">
        <v>154.26</v>
      </c>
      <c r="E195">
        <v>0.46</v>
      </c>
      <c r="F195">
        <v>22</v>
      </c>
      <c r="K195">
        <v>6</v>
      </c>
      <c r="L195" t="s">
        <v>532</v>
      </c>
      <c r="M195" t="s">
        <v>533</v>
      </c>
      <c r="N195">
        <v>100.27</v>
      </c>
      <c r="O195">
        <v>0.3</v>
      </c>
      <c r="P195">
        <v>22</v>
      </c>
    </row>
    <row r="196" spans="1:16" ht="12.75">
      <c r="A196">
        <v>6</v>
      </c>
      <c r="B196" t="s">
        <v>536</v>
      </c>
      <c r="C196" t="s">
        <v>537</v>
      </c>
      <c r="D196">
        <v>462.78</v>
      </c>
      <c r="E196">
        <v>1.38</v>
      </c>
      <c r="F196">
        <v>22</v>
      </c>
      <c r="K196">
        <v>6</v>
      </c>
      <c r="L196" t="s">
        <v>534</v>
      </c>
      <c r="M196" t="s">
        <v>535</v>
      </c>
      <c r="N196">
        <v>154.26</v>
      </c>
      <c r="O196">
        <v>0.46</v>
      </c>
      <c r="P196">
        <v>22</v>
      </c>
    </row>
    <row r="197" spans="1:16" ht="12.75">
      <c r="A197">
        <v>6</v>
      </c>
      <c r="B197" t="s">
        <v>538</v>
      </c>
      <c r="C197" t="s">
        <v>539</v>
      </c>
      <c r="D197">
        <v>430.14</v>
      </c>
      <c r="E197">
        <v>1.28</v>
      </c>
      <c r="F197">
        <v>22</v>
      </c>
      <c r="K197">
        <v>6</v>
      </c>
      <c r="L197" t="s">
        <v>536</v>
      </c>
      <c r="M197" t="s">
        <v>537</v>
      </c>
      <c r="N197">
        <v>462.78</v>
      </c>
      <c r="O197">
        <v>1.38</v>
      </c>
      <c r="P197">
        <v>22</v>
      </c>
    </row>
    <row r="198" spans="1:16" ht="12.75">
      <c r="A198">
        <v>6</v>
      </c>
      <c r="B198" t="s">
        <v>540</v>
      </c>
      <c r="C198" t="s">
        <v>541</v>
      </c>
      <c r="D198">
        <v>500.52</v>
      </c>
      <c r="E198">
        <v>1.49</v>
      </c>
      <c r="F198">
        <v>22</v>
      </c>
      <c r="K198">
        <v>6</v>
      </c>
      <c r="L198" t="s">
        <v>538</v>
      </c>
      <c r="M198" t="s">
        <v>539</v>
      </c>
      <c r="N198">
        <v>430.14</v>
      </c>
      <c r="O198">
        <v>1.28</v>
      </c>
      <c r="P198">
        <v>22</v>
      </c>
    </row>
    <row r="199" spans="1:16" ht="12.75">
      <c r="A199">
        <v>6</v>
      </c>
      <c r="B199" t="s">
        <v>542</v>
      </c>
      <c r="C199" t="s">
        <v>543</v>
      </c>
      <c r="D199">
        <v>237.75</v>
      </c>
      <c r="E199">
        <v>0.71</v>
      </c>
      <c r="F199">
        <v>22</v>
      </c>
      <c r="K199">
        <v>6</v>
      </c>
      <c r="L199" t="s">
        <v>540</v>
      </c>
      <c r="M199" t="s">
        <v>541</v>
      </c>
      <c r="N199">
        <v>500.52</v>
      </c>
      <c r="O199">
        <v>1.49</v>
      </c>
      <c r="P199">
        <v>22</v>
      </c>
    </row>
    <row r="200" spans="1:16" ht="12.75">
      <c r="A200">
        <v>6</v>
      </c>
      <c r="B200" t="s">
        <v>544</v>
      </c>
      <c r="C200" t="s">
        <v>545</v>
      </c>
      <c r="D200">
        <v>430.14</v>
      </c>
      <c r="E200">
        <v>1.28</v>
      </c>
      <c r="F200">
        <v>22</v>
      </c>
      <c r="K200">
        <v>6</v>
      </c>
      <c r="L200" t="s">
        <v>542</v>
      </c>
      <c r="M200" t="s">
        <v>543</v>
      </c>
      <c r="N200">
        <v>237.75</v>
      </c>
      <c r="O200">
        <v>0.71</v>
      </c>
      <c r="P200">
        <v>22</v>
      </c>
    </row>
    <row r="201" spans="1:16" ht="12.75">
      <c r="A201">
        <v>6</v>
      </c>
      <c r="B201" t="s">
        <v>546</v>
      </c>
      <c r="C201" t="s">
        <v>547</v>
      </c>
      <c r="D201">
        <v>94.8</v>
      </c>
      <c r="E201">
        <v>0.28</v>
      </c>
      <c r="F201">
        <v>22</v>
      </c>
      <c r="K201">
        <v>6</v>
      </c>
      <c r="L201" t="s">
        <v>544</v>
      </c>
      <c r="M201" t="s">
        <v>545</v>
      </c>
      <c r="N201">
        <v>430.14</v>
      </c>
      <c r="O201">
        <v>1.28</v>
      </c>
      <c r="P201">
        <v>22</v>
      </c>
    </row>
    <row r="202" spans="1:16" ht="12.75">
      <c r="A202">
        <v>6</v>
      </c>
      <c r="B202" t="s">
        <v>548</v>
      </c>
      <c r="C202" t="s">
        <v>549</v>
      </c>
      <c r="D202">
        <v>276.15</v>
      </c>
      <c r="E202">
        <v>0.82</v>
      </c>
      <c r="F202">
        <v>22</v>
      </c>
      <c r="K202">
        <v>6</v>
      </c>
      <c r="L202" t="s">
        <v>546</v>
      </c>
      <c r="M202" t="s">
        <v>547</v>
      </c>
      <c r="N202">
        <v>94.8</v>
      </c>
      <c r="O202">
        <v>0.28</v>
      </c>
      <c r="P202">
        <v>22</v>
      </c>
    </row>
    <row r="203" spans="1:16" ht="12.75">
      <c r="A203">
        <v>6</v>
      </c>
      <c r="B203" t="s">
        <v>550</v>
      </c>
      <c r="C203" t="s">
        <v>551</v>
      </c>
      <c r="D203">
        <v>90.67</v>
      </c>
      <c r="E203">
        <v>0.27</v>
      </c>
      <c r="F203">
        <v>22</v>
      </c>
      <c r="K203">
        <v>6</v>
      </c>
      <c r="L203" t="s">
        <v>548</v>
      </c>
      <c r="M203" t="s">
        <v>549</v>
      </c>
      <c r="N203">
        <v>276.15</v>
      </c>
      <c r="O203">
        <v>0.82</v>
      </c>
      <c r="P203">
        <v>22</v>
      </c>
    </row>
    <row r="204" spans="1:16" ht="12.75">
      <c r="A204">
        <v>6</v>
      </c>
      <c r="B204" t="s">
        <v>552</v>
      </c>
      <c r="C204" t="s">
        <v>553</v>
      </c>
      <c r="D204">
        <v>156.62</v>
      </c>
      <c r="E204">
        <v>0.47</v>
      </c>
      <c r="F204">
        <v>22</v>
      </c>
      <c r="K204">
        <v>6</v>
      </c>
      <c r="L204" t="s">
        <v>550</v>
      </c>
      <c r="M204" t="s">
        <v>551</v>
      </c>
      <c r="N204">
        <v>90.67</v>
      </c>
      <c r="O204">
        <v>0.27</v>
      </c>
      <c r="P204">
        <v>22</v>
      </c>
    </row>
    <row r="205" spans="1:16" ht="12.75">
      <c r="A205">
        <v>6</v>
      </c>
      <c r="B205" t="s">
        <v>554</v>
      </c>
      <c r="C205" t="s">
        <v>555</v>
      </c>
      <c r="D205">
        <v>98.92</v>
      </c>
      <c r="E205">
        <v>0.29</v>
      </c>
      <c r="F205">
        <v>22</v>
      </c>
      <c r="K205">
        <v>6</v>
      </c>
      <c r="L205" t="s">
        <v>552</v>
      </c>
      <c r="M205" t="s">
        <v>553</v>
      </c>
      <c r="N205">
        <v>156.62</v>
      </c>
      <c r="O205">
        <v>0.47</v>
      </c>
      <c r="P205">
        <v>22</v>
      </c>
    </row>
    <row r="206" spans="1:16" ht="12.75">
      <c r="A206">
        <v>6</v>
      </c>
      <c r="B206" t="s">
        <v>556</v>
      </c>
      <c r="C206" t="s">
        <v>557</v>
      </c>
      <c r="D206">
        <v>515.2</v>
      </c>
      <c r="E206">
        <v>1.53</v>
      </c>
      <c r="F206">
        <v>22</v>
      </c>
      <c r="K206">
        <v>6</v>
      </c>
      <c r="L206" t="s">
        <v>554</v>
      </c>
      <c r="M206" t="s">
        <v>555</v>
      </c>
      <c r="N206">
        <v>98.92</v>
      </c>
      <c r="O206">
        <v>0.29</v>
      </c>
      <c r="P206">
        <v>22</v>
      </c>
    </row>
    <row r="207" spans="1:16" ht="12.75">
      <c r="A207">
        <v>6</v>
      </c>
      <c r="B207" t="s">
        <v>558</v>
      </c>
      <c r="C207" t="s">
        <v>559</v>
      </c>
      <c r="D207">
        <v>90.91</v>
      </c>
      <c r="E207">
        <v>0.27</v>
      </c>
      <c r="F207">
        <v>22</v>
      </c>
      <c r="K207">
        <v>6</v>
      </c>
      <c r="L207" t="s">
        <v>556</v>
      </c>
      <c r="M207" t="s">
        <v>557</v>
      </c>
      <c r="N207">
        <v>515.2</v>
      </c>
      <c r="O207">
        <v>1.53</v>
      </c>
      <c r="P207">
        <v>22</v>
      </c>
    </row>
    <row r="208" spans="1:16" ht="12.75">
      <c r="A208">
        <v>6</v>
      </c>
      <c r="B208" t="s">
        <v>560</v>
      </c>
      <c r="C208" t="s">
        <v>561</v>
      </c>
      <c r="D208">
        <v>90.91</v>
      </c>
      <c r="E208">
        <v>0.27</v>
      </c>
      <c r="F208">
        <v>22</v>
      </c>
      <c r="K208">
        <v>6</v>
      </c>
      <c r="L208" t="s">
        <v>558</v>
      </c>
      <c r="M208" t="s">
        <v>559</v>
      </c>
      <c r="N208">
        <v>90.91</v>
      </c>
      <c r="O208">
        <v>0.27</v>
      </c>
      <c r="P208">
        <v>22</v>
      </c>
    </row>
    <row r="209" spans="1:16" ht="12.75">
      <c r="A209">
        <v>6</v>
      </c>
      <c r="B209" t="s">
        <v>562</v>
      </c>
      <c r="C209" t="s">
        <v>563</v>
      </c>
      <c r="D209">
        <v>242.41</v>
      </c>
      <c r="E209">
        <v>0.72</v>
      </c>
      <c r="F209">
        <v>22</v>
      </c>
      <c r="K209">
        <v>6</v>
      </c>
      <c r="L209" t="s">
        <v>560</v>
      </c>
      <c r="M209" t="s">
        <v>561</v>
      </c>
      <c r="N209">
        <v>90.91</v>
      </c>
      <c r="O209">
        <v>0.27</v>
      </c>
      <c r="P209">
        <v>22</v>
      </c>
    </row>
    <row r="210" spans="1:16" ht="12.75">
      <c r="A210">
        <v>6</v>
      </c>
      <c r="B210" t="s">
        <v>564</v>
      </c>
      <c r="C210" t="s">
        <v>565</v>
      </c>
      <c r="D210">
        <v>278.78</v>
      </c>
      <c r="E210">
        <v>0.83</v>
      </c>
      <c r="F210">
        <v>22</v>
      </c>
      <c r="K210">
        <v>6</v>
      </c>
      <c r="L210" t="s">
        <v>562</v>
      </c>
      <c r="M210" t="s">
        <v>563</v>
      </c>
      <c r="N210">
        <v>242.41</v>
      </c>
      <c r="O210">
        <v>0.72</v>
      </c>
      <c r="P210">
        <v>22</v>
      </c>
    </row>
    <row r="211" spans="1:16" ht="12.75">
      <c r="A211">
        <v>6</v>
      </c>
      <c r="B211" t="s">
        <v>566</v>
      </c>
      <c r="C211" t="s">
        <v>567</v>
      </c>
      <c r="D211">
        <v>284</v>
      </c>
      <c r="E211">
        <v>0.85</v>
      </c>
      <c r="F211">
        <v>22</v>
      </c>
      <c r="K211">
        <v>6</v>
      </c>
      <c r="L211" t="s">
        <v>564</v>
      </c>
      <c r="M211" t="s">
        <v>565</v>
      </c>
      <c r="N211">
        <v>278.78</v>
      </c>
      <c r="O211">
        <v>0.83</v>
      </c>
      <c r="P211">
        <v>22</v>
      </c>
    </row>
    <row r="212" spans="1:16" ht="12.75">
      <c r="A212">
        <v>6</v>
      </c>
      <c r="B212" t="s">
        <v>568</v>
      </c>
      <c r="C212" t="s">
        <v>569</v>
      </c>
      <c r="D212">
        <v>229</v>
      </c>
      <c r="E212">
        <v>0.68</v>
      </c>
      <c r="F212" s="1">
        <v>22</v>
      </c>
      <c r="K212">
        <v>6</v>
      </c>
      <c r="L212" t="s">
        <v>566</v>
      </c>
      <c r="M212" t="s">
        <v>567</v>
      </c>
      <c r="N212">
        <v>284</v>
      </c>
      <c r="O212">
        <v>0.85</v>
      </c>
      <c r="P212">
        <v>22</v>
      </c>
    </row>
    <row r="213" spans="1:16" ht="12.75">
      <c r="A213">
        <v>6</v>
      </c>
      <c r="B213" t="s">
        <v>570</v>
      </c>
      <c r="C213" t="s">
        <v>571</v>
      </c>
      <c r="D213">
        <v>182.81</v>
      </c>
      <c r="E213">
        <v>0.54</v>
      </c>
      <c r="F213">
        <v>22</v>
      </c>
      <c r="K213">
        <v>6</v>
      </c>
      <c r="L213" t="s">
        <v>570</v>
      </c>
      <c r="M213" t="s">
        <v>571</v>
      </c>
      <c r="N213">
        <v>182.81</v>
      </c>
      <c r="O213">
        <v>0.54</v>
      </c>
      <c r="P213">
        <v>22</v>
      </c>
    </row>
    <row r="214" spans="1:16" ht="12.75">
      <c r="A214">
        <v>6</v>
      </c>
      <c r="B214" t="s">
        <v>572</v>
      </c>
      <c r="C214" t="s">
        <v>573</v>
      </c>
      <c r="D214">
        <v>421.01</v>
      </c>
      <c r="E214">
        <v>1.25</v>
      </c>
      <c r="F214">
        <v>22</v>
      </c>
      <c r="K214">
        <v>6</v>
      </c>
      <c r="L214" t="s">
        <v>572</v>
      </c>
      <c r="M214" t="s">
        <v>573</v>
      </c>
      <c r="N214">
        <v>421.01</v>
      </c>
      <c r="O214">
        <v>1.25</v>
      </c>
      <c r="P214">
        <v>22</v>
      </c>
    </row>
    <row r="215" spans="1:16" ht="12.75">
      <c r="A215">
        <v>6</v>
      </c>
      <c r="B215" t="s">
        <v>574</v>
      </c>
      <c r="C215" t="s">
        <v>575</v>
      </c>
      <c r="D215">
        <v>288.06</v>
      </c>
      <c r="E215">
        <v>0.86</v>
      </c>
      <c r="F215">
        <v>22</v>
      </c>
      <c r="K215">
        <v>6</v>
      </c>
      <c r="L215" t="s">
        <v>574</v>
      </c>
      <c r="M215" t="s">
        <v>575</v>
      </c>
      <c r="N215">
        <v>288.06</v>
      </c>
      <c r="O215">
        <v>0.86</v>
      </c>
      <c r="P215">
        <v>22</v>
      </c>
    </row>
    <row r="216" spans="1:16" ht="12.75">
      <c r="A216">
        <v>6</v>
      </c>
      <c r="B216" t="s">
        <v>576</v>
      </c>
      <c r="C216" t="s">
        <v>577</v>
      </c>
      <c r="D216">
        <v>304.94</v>
      </c>
      <c r="E216">
        <v>0.91</v>
      </c>
      <c r="F216">
        <v>22</v>
      </c>
      <c r="K216">
        <v>6</v>
      </c>
      <c r="L216" t="s">
        <v>576</v>
      </c>
      <c r="M216" t="s">
        <v>577</v>
      </c>
      <c r="N216">
        <v>304.94</v>
      </c>
      <c r="O216">
        <v>0.91</v>
      </c>
      <c r="P216">
        <v>22</v>
      </c>
    </row>
    <row r="217" spans="1:16" ht="12.75">
      <c r="A217">
        <v>6</v>
      </c>
      <c r="B217" t="s">
        <v>578</v>
      </c>
      <c r="C217" t="s">
        <v>579</v>
      </c>
      <c r="D217">
        <v>304.94</v>
      </c>
      <c r="E217">
        <v>0.91</v>
      </c>
      <c r="F217">
        <v>22</v>
      </c>
      <c r="K217">
        <v>6</v>
      </c>
      <c r="L217" t="s">
        <v>578</v>
      </c>
      <c r="M217" t="s">
        <v>579</v>
      </c>
      <c r="N217">
        <v>304.94</v>
      </c>
      <c r="O217">
        <v>0.91</v>
      </c>
      <c r="P217">
        <v>22</v>
      </c>
    </row>
    <row r="218" spans="1:16" ht="12.75">
      <c r="A218">
        <v>6</v>
      </c>
      <c r="B218" t="s">
        <v>580</v>
      </c>
      <c r="C218" t="s">
        <v>581</v>
      </c>
      <c r="D218">
        <v>344.29</v>
      </c>
      <c r="E218">
        <v>1.02</v>
      </c>
      <c r="F218">
        <v>22</v>
      </c>
      <c r="K218">
        <v>6</v>
      </c>
      <c r="L218" t="s">
        <v>580</v>
      </c>
      <c r="M218" t="s">
        <v>581</v>
      </c>
      <c r="N218">
        <v>344.29</v>
      </c>
      <c r="O218">
        <v>1.02</v>
      </c>
      <c r="P218">
        <v>22</v>
      </c>
    </row>
    <row r="219" spans="1:16" ht="12.75">
      <c r="A219">
        <v>6</v>
      </c>
      <c r="B219" t="s">
        <v>582</v>
      </c>
      <c r="C219" t="s">
        <v>583</v>
      </c>
      <c r="D219">
        <v>152.47</v>
      </c>
      <c r="E219">
        <v>0.45</v>
      </c>
      <c r="F219">
        <v>22</v>
      </c>
      <c r="K219">
        <v>6</v>
      </c>
      <c r="L219" t="s">
        <v>582</v>
      </c>
      <c r="M219" t="s">
        <v>583</v>
      </c>
      <c r="N219">
        <v>152.47</v>
      </c>
      <c r="O219">
        <v>0.45</v>
      </c>
      <c r="P219">
        <v>22</v>
      </c>
    </row>
    <row r="220" spans="1:16" ht="12.75">
      <c r="A220">
        <v>6</v>
      </c>
      <c r="B220" t="s">
        <v>584</v>
      </c>
      <c r="C220" t="s">
        <v>585</v>
      </c>
      <c r="D220">
        <v>212.23</v>
      </c>
      <c r="E220">
        <v>0.63</v>
      </c>
      <c r="F220">
        <v>22</v>
      </c>
      <c r="K220">
        <v>6</v>
      </c>
      <c r="L220" t="s">
        <v>584</v>
      </c>
      <c r="M220" t="s">
        <v>585</v>
      </c>
      <c r="N220">
        <v>212.23</v>
      </c>
      <c r="O220">
        <v>0.63</v>
      </c>
      <c r="P220">
        <v>22</v>
      </c>
    </row>
    <row r="221" spans="1:17" ht="12.75">
      <c r="A221">
        <v>6</v>
      </c>
      <c r="B221" t="s">
        <v>586</v>
      </c>
      <c r="C221" t="s">
        <v>587</v>
      </c>
      <c r="D221">
        <v>212.23</v>
      </c>
      <c r="E221">
        <v>0.63</v>
      </c>
      <c r="F221">
        <v>22</v>
      </c>
      <c r="K221" s="19">
        <v>6</v>
      </c>
      <c r="L221" s="19" t="s">
        <v>586</v>
      </c>
      <c r="M221" s="19" t="s">
        <v>587</v>
      </c>
      <c r="N221" s="19">
        <v>212.23</v>
      </c>
      <c r="O221" s="19">
        <v>0.63</v>
      </c>
      <c r="P221" s="19">
        <v>22</v>
      </c>
      <c r="Q221" s="19"/>
    </row>
    <row r="222" spans="1:16" ht="12.75">
      <c r="A222" s="19">
        <v>6</v>
      </c>
      <c r="B222" s="19" t="s">
        <v>588</v>
      </c>
      <c r="C222" s="19" t="s">
        <v>589</v>
      </c>
      <c r="D222" s="19">
        <v>102</v>
      </c>
      <c r="E222" s="170">
        <v>0.3</v>
      </c>
      <c r="F222" s="143">
        <v>22</v>
      </c>
      <c r="G222" s="19">
        <v>16748</v>
      </c>
      <c r="H222" s="19">
        <v>49.86</v>
      </c>
      <c r="I222" s="19">
        <v>22</v>
      </c>
      <c r="K222">
        <v>6</v>
      </c>
      <c r="L222" t="s">
        <v>614</v>
      </c>
      <c r="M222" t="s">
        <v>615</v>
      </c>
      <c r="N222">
        <v>298.12</v>
      </c>
      <c r="O222">
        <v>0.89</v>
      </c>
      <c r="P222">
        <v>22</v>
      </c>
    </row>
    <row r="223" spans="1:16" ht="12.75">
      <c r="A223">
        <v>6</v>
      </c>
      <c r="B223" t="s">
        <v>590</v>
      </c>
      <c r="C223" t="s">
        <v>591</v>
      </c>
      <c r="D223">
        <v>22380</v>
      </c>
      <c r="E223">
        <v>66.62</v>
      </c>
      <c r="F223">
        <v>0</v>
      </c>
      <c r="K223">
        <v>6</v>
      </c>
      <c r="L223" t="s">
        <v>616</v>
      </c>
      <c r="M223" t="s">
        <v>617</v>
      </c>
      <c r="N223">
        <v>695.62</v>
      </c>
      <c r="O223">
        <v>2.07</v>
      </c>
      <c r="P223">
        <v>22</v>
      </c>
    </row>
    <row r="224" spans="1:16" ht="12.75">
      <c r="A224">
        <v>6</v>
      </c>
      <c r="B224" t="s">
        <v>592</v>
      </c>
      <c r="C224" t="s">
        <v>593</v>
      </c>
      <c r="D224">
        <v>2535.55</v>
      </c>
      <c r="E224">
        <v>7.55</v>
      </c>
      <c r="F224">
        <v>0</v>
      </c>
      <c r="K224">
        <v>6</v>
      </c>
      <c r="L224" t="s">
        <v>618</v>
      </c>
      <c r="M224" t="s">
        <v>619</v>
      </c>
      <c r="N224">
        <v>298.12</v>
      </c>
      <c r="O224">
        <v>0.89</v>
      </c>
      <c r="P224">
        <v>22</v>
      </c>
    </row>
    <row r="225" spans="1:16" ht="12.75">
      <c r="A225">
        <v>6</v>
      </c>
      <c r="B225" t="s">
        <v>594</v>
      </c>
      <c r="C225" t="s">
        <v>595</v>
      </c>
      <c r="D225">
        <v>2781.33</v>
      </c>
      <c r="E225">
        <v>8.28</v>
      </c>
      <c r="F225">
        <v>0</v>
      </c>
      <c r="K225">
        <v>6</v>
      </c>
      <c r="L225" t="s">
        <v>620</v>
      </c>
      <c r="M225" t="s">
        <v>621</v>
      </c>
      <c r="N225">
        <v>695.62</v>
      </c>
      <c r="O225">
        <v>2.07</v>
      </c>
      <c r="P225">
        <v>22</v>
      </c>
    </row>
    <row r="226" spans="1:16" ht="12.75">
      <c r="A226">
        <v>6</v>
      </c>
      <c r="B226" t="s">
        <v>596</v>
      </c>
      <c r="C226" t="s">
        <v>597</v>
      </c>
      <c r="D226">
        <v>570</v>
      </c>
      <c r="E226">
        <v>1.7</v>
      </c>
      <c r="F226" s="1">
        <v>22</v>
      </c>
      <c r="K226">
        <v>6</v>
      </c>
      <c r="L226" t="s">
        <v>622</v>
      </c>
      <c r="M226" t="s">
        <v>623</v>
      </c>
      <c r="N226">
        <v>496.87</v>
      </c>
      <c r="O226">
        <v>1.48</v>
      </c>
      <c r="P226">
        <v>22</v>
      </c>
    </row>
    <row r="227" spans="1:16" ht="12.75">
      <c r="A227">
        <v>6</v>
      </c>
      <c r="B227" t="s">
        <v>598</v>
      </c>
      <c r="C227" t="s">
        <v>599</v>
      </c>
      <c r="D227">
        <v>570</v>
      </c>
      <c r="E227">
        <v>1.7</v>
      </c>
      <c r="F227" s="1">
        <v>22</v>
      </c>
      <c r="K227">
        <v>6</v>
      </c>
      <c r="L227" t="s">
        <v>626</v>
      </c>
      <c r="M227" t="s">
        <v>627</v>
      </c>
      <c r="N227">
        <v>700.81</v>
      </c>
      <c r="O227">
        <v>2.09</v>
      </c>
      <c r="P227">
        <v>22</v>
      </c>
    </row>
    <row r="228" spans="1:16" ht="12.75">
      <c r="A228">
        <v>6</v>
      </c>
      <c r="B228" t="s">
        <v>600</v>
      </c>
      <c r="C228" t="s">
        <v>601</v>
      </c>
      <c r="D228">
        <v>1240.42</v>
      </c>
      <c r="E228">
        <v>3.69</v>
      </c>
      <c r="F228" s="1">
        <v>22</v>
      </c>
      <c r="K228">
        <v>6</v>
      </c>
      <c r="L228" t="s">
        <v>630</v>
      </c>
      <c r="M228" t="s">
        <v>631</v>
      </c>
      <c r="N228">
        <v>1117.19</v>
      </c>
      <c r="O228">
        <v>3.33</v>
      </c>
      <c r="P228">
        <v>22</v>
      </c>
    </row>
    <row r="229" spans="1:16" ht="12.75">
      <c r="A229">
        <v>6</v>
      </c>
      <c r="B229" t="s">
        <v>602</v>
      </c>
      <c r="C229" t="s">
        <v>603</v>
      </c>
      <c r="D229">
        <v>2384.93</v>
      </c>
      <c r="E229">
        <v>7.1</v>
      </c>
      <c r="F229" s="1">
        <v>22</v>
      </c>
      <c r="K229">
        <v>6</v>
      </c>
      <c r="L229" t="s">
        <v>636</v>
      </c>
      <c r="M229" t="s">
        <v>637</v>
      </c>
      <c r="N229">
        <v>5977</v>
      </c>
      <c r="O229">
        <v>17.79</v>
      </c>
      <c r="P229">
        <v>22</v>
      </c>
    </row>
    <row r="230" spans="1:16" ht="12.75">
      <c r="A230">
        <v>6</v>
      </c>
      <c r="B230" t="s">
        <v>604</v>
      </c>
      <c r="C230" t="s">
        <v>605</v>
      </c>
      <c r="D230">
        <v>2384.93</v>
      </c>
      <c r="E230">
        <v>7.1</v>
      </c>
      <c r="F230" s="1">
        <v>22</v>
      </c>
      <c r="K230" s="9">
        <v>6</v>
      </c>
      <c r="L230" s="9" t="s">
        <v>638</v>
      </c>
      <c r="M230" s="9" t="s">
        <v>639</v>
      </c>
      <c r="N230" s="9">
        <v>1863.27</v>
      </c>
      <c r="O230" s="9">
        <v>5.55</v>
      </c>
      <c r="P230" s="9">
        <v>22</v>
      </c>
    </row>
    <row r="231" spans="1:17" ht="12.75">
      <c r="A231">
        <v>6</v>
      </c>
      <c r="B231" t="s">
        <v>606</v>
      </c>
      <c r="C231" t="s">
        <v>607</v>
      </c>
      <c r="D231">
        <v>8558</v>
      </c>
      <c r="E231">
        <v>25.48</v>
      </c>
      <c r="F231">
        <v>0</v>
      </c>
      <c r="K231" s="19">
        <v>6</v>
      </c>
      <c r="L231" s="19" t="s">
        <v>640</v>
      </c>
      <c r="M231" s="19" t="s">
        <v>641</v>
      </c>
      <c r="N231" s="19">
        <v>185</v>
      </c>
      <c r="O231" s="19">
        <v>0.55</v>
      </c>
      <c r="P231" s="19">
        <v>22</v>
      </c>
      <c r="Q231" s="19"/>
    </row>
    <row r="232" spans="1:16" ht="12.75">
      <c r="A232">
        <v>6</v>
      </c>
      <c r="B232" t="s">
        <v>608</v>
      </c>
      <c r="C232" t="s">
        <v>609</v>
      </c>
      <c r="D232">
        <v>1342.37</v>
      </c>
      <c r="E232">
        <v>4</v>
      </c>
      <c r="F232" s="1">
        <v>22</v>
      </c>
      <c r="K232">
        <v>6</v>
      </c>
      <c r="L232" t="s">
        <v>642</v>
      </c>
      <c r="M232" t="s">
        <v>643</v>
      </c>
      <c r="N232">
        <v>537.68</v>
      </c>
      <c r="O232">
        <v>1.6</v>
      </c>
      <c r="P232">
        <v>22</v>
      </c>
    </row>
    <row r="233" spans="1:16" ht="12.75">
      <c r="A233">
        <v>6</v>
      </c>
      <c r="B233" t="s">
        <v>610</v>
      </c>
      <c r="C233" t="s">
        <v>611</v>
      </c>
      <c r="D233">
        <v>143.47</v>
      </c>
      <c r="E233">
        <v>0.43</v>
      </c>
      <c r="F233">
        <v>0</v>
      </c>
      <c r="K233">
        <v>6</v>
      </c>
      <c r="L233" t="s">
        <v>644</v>
      </c>
      <c r="M233" t="s">
        <v>645</v>
      </c>
      <c r="N233">
        <v>240.93</v>
      </c>
      <c r="O233">
        <v>0.72</v>
      </c>
      <c r="P233">
        <v>22</v>
      </c>
    </row>
    <row r="234" spans="1:16" ht="12.75">
      <c r="A234">
        <v>6</v>
      </c>
      <c r="B234" t="s">
        <v>612</v>
      </c>
      <c r="C234" t="s">
        <v>613</v>
      </c>
      <c r="D234">
        <v>147.76</v>
      </c>
      <c r="E234">
        <v>0.44</v>
      </c>
      <c r="F234">
        <v>0</v>
      </c>
      <c r="K234">
        <v>6</v>
      </c>
      <c r="L234" t="s">
        <v>646</v>
      </c>
      <c r="M234" t="s">
        <v>647</v>
      </c>
      <c r="N234">
        <v>1442.62</v>
      </c>
      <c r="O234">
        <v>4.29</v>
      </c>
      <c r="P234">
        <v>22</v>
      </c>
    </row>
    <row r="235" spans="1:16" ht="12.75">
      <c r="A235">
        <v>6</v>
      </c>
      <c r="B235" t="s">
        <v>614</v>
      </c>
      <c r="C235" t="s">
        <v>615</v>
      </c>
      <c r="D235">
        <v>298.12</v>
      </c>
      <c r="E235">
        <v>0.89</v>
      </c>
      <c r="F235">
        <v>22</v>
      </c>
      <c r="K235">
        <v>6</v>
      </c>
      <c r="L235" t="s">
        <v>648</v>
      </c>
      <c r="M235" t="s">
        <v>649</v>
      </c>
      <c r="N235">
        <v>531.8</v>
      </c>
      <c r="O235">
        <v>1.58</v>
      </c>
      <c r="P235">
        <v>22</v>
      </c>
    </row>
    <row r="236" spans="1:16" ht="12.75">
      <c r="A236">
        <v>6</v>
      </c>
      <c r="B236" t="s">
        <v>616</v>
      </c>
      <c r="C236" t="s">
        <v>617</v>
      </c>
      <c r="D236">
        <v>695.62</v>
      </c>
      <c r="E236">
        <v>2.07</v>
      </c>
      <c r="F236">
        <v>22</v>
      </c>
      <c r="K236">
        <v>6</v>
      </c>
      <c r="L236" t="s">
        <v>650</v>
      </c>
      <c r="M236" t="s">
        <v>651</v>
      </c>
      <c r="N236">
        <v>881.44</v>
      </c>
      <c r="O236">
        <v>2.62</v>
      </c>
      <c r="P236">
        <v>22</v>
      </c>
    </row>
    <row r="237" spans="1:16" ht="12.75">
      <c r="A237">
        <v>6</v>
      </c>
      <c r="B237" t="s">
        <v>618</v>
      </c>
      <c r="C237" t="s">
        <v>619</v>
      </c>
      <c r="D237">
        <v>298.12</v>
      </c>
      <c r="E237">
        <v>0.89</v>
      </c>
      <c r="F237">
        <v>22</v>
      </c>
      <c r="K237">
        <v>6</v>
      </c>
      <c r="L237" t="s">
        <v>652</v>
      </c>
      <c r="M237" t="s">
        <v>653</v>
      </c>
      <c r="N237">
        <v>496.54</v>
      </c>
      <c r="O237">
        <v>1.48</v>
      </c>
      <c r="P237">
        <v>22</v>
      </c>
    </row>
    <row r="238" spans="1:19" ht="12.75">
      <c r="A238">
        <v>6</v>
      </c>
      <c r="B238" t="s">
        <v>620</v>
      </c>
      <c r="C238" t="s">
        <v>621</v>
      </c>
      <c r="D238">
        <v>695.62</v>
      </c>
      <c r="E238">
        <v>2.07</v>
      </c>
      <c r="F238">
        <v>22</v>
      </c>
      <c r="K238">
        <v>6</v>
      </c>
      <c r="L238" t="s">
        <v>654</v>
      </c>
      <c r="M238" t="s">
        <v>655</v>
      </c>
      <c r="N238">
        <v>255</v>
      </c>
      <c r="O238">
        <v>0.76</v>
      </c>
      <c r="P238">
        <v>22</v>
      </c>
      <c r="R238" s="9"/>
      <c r="S238" s="9"/>
    </row>
    <row r="239" spans="1:16" ht="12.75">
      <c r="A239">
        <v>6</v>
      </c>
      <c r="B239" t="s">
        <v>622</v>
      </c>
      <c r="C239" t="s">
        <v>623</v>
      </c>
      <c r="D239">
        <v>496.87</v>
      </c>
      <c r="E239">
        <v>1.48</v>
      </c>
      <c r="F239">
        <v>22</v>
      </c>
      <c r="K239">
        <v>6</v>
      </c>
      <c r="L239" t="s">
        <v>656</v>
      </c>
      <c r="M239" t="s">
        <v>657</v>
      </c>
      <c r="N239">
        <v>137</v>
      </c>
      <c r="O239">
        <v>0.41</v>
      </c>
      <c r="P239">
        <v>22</v>
      </c>
    </row>
    <row r="240" spans="1:16" ht="12.75">
      <c r="A240">
        <v>6</v>
      </c>
      <c r="B240" t="s">
        <v>624</v>
      </c>
      <c r="C240" t="s">
        <v>625</v>
      </c>
      <c r="D240">
        <v>1064.72</v>
      </c>
      <c r="E240">
        <v>3.17</v>
      </c>
      <c r="F240" s="1">
        <v>22</v>
      </c>
      <c r="K240">
        <v>6</v>
      </c>
      <c r="L240" t="s">
        <v>658</v>
      </c>
      <c r="M240" t="s">
        <v>659</v>
      </c>
      <c r="N240">
        <v>137</v>
      </c>
      <c r="O240">
        <v>0.41</v>
      </c>
      <c r="P240">
        <v>22</v>
      </c>
    </row>
    <row r="241" spans="1:16" ht="12.75">
      <c r="A241">
        <v>6</v>
      </c>
      <c r="B241" t="s">
        <v>626</v>
      </c>
      <c r="C241" t="s">
        <v>627</v>
      </c>
      <c r="D241">
        <v>700.81</v>
      </c>
      <c r="E241">
        <v>2.09</v>
      </c>
      <c r="F241">
        <v>22</v>
      </c>
      <c r="K241">
        <v>6</v>
      </c>
      <c r="L241" t="s">
        <v>660</v>
      </c>
      <c r="M241" t="s">
        <v>661</v>
      </c>
      <c r="N241">
        <v>157</v>
      </c>
      <c r="O241">
        <v>0.47</v>
      </c>
      <c r="P241">
        <v>22</v>
      </c>
    </row>
    <row r="242" spans="1:16" ht="12.75">
      <c r="A242">
        <v>6</v>
      </c>
      <c r="B242" t="s">
        <v>628</v>
      </c>
      <c r="C242" t="s">
        <v>629</v>
      </c>
      <c r="D242">
        <v>365</v>
      </c>
      <c r="E242">
        <v>1.09</v>
      </c>
      <c r="F242" s="1">
        <v>22</v>
      </c>
      <c r="K242">
        <v>6</v>
      </c>
      <c r="L242" t="s">
        <v>662</v>
      </c>
      <c r="M242" t="s">
        <v>663</v>
      </c>
      <c r="N242">
        <v>774</v>
      </c>
      <c r="O242">
        <v>2.3</v>
      </c>
      <c r="P242">
        <v>22</v>
      </c>
    </row>
    <row r="243" spans="1:16" ht="12.75">
      <c r="A243">
        <v>6</v>
      </c>
      <c r="B243" t="s">
        <v>630</v>
      </c>
      <c r="C243" t="s">
        <v>631</v>
      </c>
      <c r="D243">
        <v>1117.19</v>
      </c>
      <c r="E243">
        <v>3.33</v>
      </c>
      <c r="F243">
        <v>22</v>
      </c>
      <c r="K243">
        <v>6</v>
      </c>
      <c r="L243" t="s">
        <v>664</v>
      </c>
      <c r="M243" t="s">
        <v>665</v>
      </c>
      <c r="N243">
        <v>647</v>
      </c>
      <c r="O243">
        <v>1.93</v>
      </c>
      <c r="P243">
        <v>22</v>
      </c>
    </row>
    <row r="244" spans="1:16" ht="12.75">
      <c r="A244">
        <v>6</v>
      </c>
      <c r="B244" t="s">
        <v>632</v>
      </c>
      <c r="C244" t="s">
        <v>633</v>
      </c>
      <c r="D244">
        <v>6091.36</v>
      </c>
      <c r="E244">
        <v>18.13</v>
      </c>
      <c r="F244">
        <v>0</v>
      </c>
      <c r="K244">
        <v>6</v>
      </c>
      <c r="L244" t="s">
        <v>668</v>
      </c>
      <c r="M244" t="s">
        <v>669</v>
      </c>
      <c r="N244">
        <v>486.14</v>
      </c>
      <c r="O244">
        <v>1.45</v>
      </c>
      <c r="P244">
        <v>22</v>
      </c>
    </row>
    <row r="245" spans="1:16" ht="12.75">
      <c r="A245">
        <v>6</v>
      </c>
      <c r="B245" t="s">
        <v>634</v>
      </c>
      <c r="C245" t="s">
        <v>635</v>
      </c>
      <c r="D245">
        <v>514</v>
      </c>
      <c r="E245">
        <v>1.53</v>
      </c>
      <c r="F245" s="1">
        <v>22</v>
      </c>
      <c r="K245">
        <v>6</v>
      </c>
      <c r="L245" t="s">
        <v>670</v>
      </c>
      <c r="M245" t="s">
        <v>671</v>
      </c>
      <c r="N245">
        <v>318.65</v>
      </c>
      <c r="O245">
        <v>0.95</v>
      </c>
      <c r="P245">
        <v>22</v>
      </c>
    </row>
    <row r="246" spans="1:16" ht="12.75">
      <c r="A246">
        <v>6</v>
      </c>
      <c r="B246" t="s">
        <v>636</v>
      </c>
      <c r="C246" t="s">
        <v>637</v>
      </c>
      <c r="D246">
        <v>5977</v>
      </c>
      <c r="E246">
        <v>17.79</v>
      </c>
      <c r="F246">
        <v>22</v>
      </c>
      <c r="K246">
        <v>6</v>
      </c>
      <c r="L246" t="s">
        <v>672</v>
      </c>
      <c r="M246" t="s">
        <v>673</v>
      </c>
      <c r="N246">
        <v>114.39</v>
      </c>
      <c r="O246">
        <v>0.34</v>
      </c>
      <c r="P246">
        <v>22</v>
      </c>
    </row>
    <row r="247" spans="1:20" ht="12.75">
      <c r="A247" s="9">
        <v>6</v>
      </c>
      <c r="B247" s="9" t="s">
        <v>638</v>
      </c>
      <c r="C247" s="9" t="s">
        <v>639</v>
      </c>
      <c r="D247" s="9">
        <v>1863.27</v>
      </c>
      <c r="E247" s="9">
        <v>5.55</v>
      </c>
      <c r="F247" s="9">
        <v>22</v>
      </c>
      <c r="G247" s="9">
        <v>42637.48</v>
      </c>
      <c r="H247" s="9">
        <v>126.93</v>
      </c>
      <c r="I247" s="9">
        <v>0</v>
      </c>
      <c r="K247">
        <v>6</v>
      </c>
      <c r="L247" t="s">
        <v>674</v>
      </c>
      <c r="M247" t="s">
        <v>675</v>
      </c>
      <c r="N247">
        <v>518.82</v>
      </c>
      <c r="O247">
        <v>1.54</v>
      </c>
      <c r="P247">
        <v>22</v>
      </c>
      <c r="T247" s="9" t="s">
        <v>13</v>
      </c>
    </row>
    <row r="248" spans="1:20" ht="12.75">
      <c r="A248" s="19">
        <v>6</v>
      </c>
      <c r="B248" s="19" t="s">
        <v>640</v>
      </c>
      <c r="C248" s="19" t="s">
        <v>641</v>
      </c>
      <c r="D248" s="19">
        <v>185</v>
      </c>
      <c r="E248" s="19">
        <v>0.55</v>
      </c>
      <c r="F248" s="19">
        <v>22</v>
      </c>
      <c r="G248" s="19">
        <v>22763.99</v>
      </c>
      <c r="H248" s="19">
        <v>67.77</v>
      </c>
      <c r="I248" s="19">
        <v>22</v>
      </c>
      <c r="K248">
        <v>6</v>
      </c>
      <c r="L248" t="s">
        <v>676</v>
      </c>
      <c r="M248" t="s">
        <v>677</v>
      </c>
      <c r="N248">
        <v>410.59</v>
      </c>
      <c r="O248">
        <v>1.22</v>
      </c>
      <c r="P248">
        <v>22</v>
      </c>
      <c r="Q248" s="9"/>
      <c r="R248" s="9"/>
      <c r="S248" s="9"/>
      <c r="T248" s="9"/>
    </row>
    <row r="249" spans="1:19" ht="12.75">
      <c r="A249">
        <v>6</v>
      </c>
      <c r="B249" t="s">
        <v>642</v>
      </c>
      <c r="C249" t="s">
        <v>643</v>
      </c>
      <c r="D249">
        <v>537.68</v>
      </c>
      <c r="E249">
        <v>1.6</v>
      </c>
      <c r="F249">
        <v>22</v>
      </c>
      <c r="K249">
        <v>6</v>
      </c>
      <c r="L249" t="s">
        <v>678</v>
      </c>
      <c r="M249" t="s">
        <v>679</v>
      </c>
      <c r="N249">
        <v>266.79</v>
      </c>
      <c r="O249">
        <v>0.79</v>
      </c>
      <c r="P249">
        <v>22</v>
      </c>
      <c r="Q249" s="9"/>
      <c r="R249" s="9"/>
      <c r="S249" s="9"/>
    </row>
    <row r="250" spans="1:16" ht="12.75">
      <c r="A250">
        <v>6</v>
      </c>
      <c r="B250" t="s">
        <v>644</v>
      </c>
      <c r="C250" t="s">
        <v>645</v>
      </c>
      <c r="D250">
        <v>240.93</v>
      </c>
      <c r="E250">
        <v>0.72</v>
      </c>
      <c r="F250">
        <v>22</v>
      </c>
      <c r="K250">
        <v>6</v>
      </c>
      <c r="L250" t="s">
        <v>680</v>
      </c>
      <c r="M250" t="s">
        <v>681</v>
      </c>
      <c r="N250">
        <v>266.5</v>
      </c>
      <c r="O250">
        <v>0.79</v>
      </c>
      <c r="P250">
        <v>22</v>
      </c>
    </row>
    <row r="251" spans="1:16" ht="12.75">
      <c r="A251">
        <v>6</v>
      </c>
      <c r="B251" t="s">
        <v>646</v>
      </c>
      <c r="C251" t="s">
        <v>647</v>
      </c>
      <c r="D251">
        <v>1442.62</v>
      </c>
      <c r="E251">
        <v>4.29</v>
      </c>
      <c r="F251">
        <v>22</v>
      </c>
      <c r="K251">
        <v>6</v>
      </c>
      <c r="L251" t="s">
        <v>682</v>
      </c>
      <c r="M251" t="s">
        <v>683</v>
      </c>
      <c r="N251">
        <v>594.21</v>
      </c>
      <c r="O251">
        <v>1.77</v>
      </c>
      <c r="P251">
        <v>22</v>
      </c>
    </row>
    <row r="252" spans="1:16" ht="12.75">
      <c r="A252">
        <v>6</v>
      </c>
      <c r="B252" t="s">
        <v>648</v>
      </c>
      <c r="C252" t="s">
        <v>649</v>
      </c>
      <c r="D252">
        <v>531.8</v>
      </c>
      <c r="E252">
        <v>1.58</v>
      </c>
      <c r="F252">
        <v>22</v>
      </c>
      <c r="K252">
        <v>6</v>
      </c>
      <c r="L252" t="s">
        <v>684</v>
      </c>
      <c r="M252" t="s">
        <v>685</v>
      </c>
      <c r="N252">
        <v>280.41</v>
      </c>
      <c r="O252">
        <v>0.83</v>
      </c>
      <c r="P252">
        <v>22</v>
      </c>
    </row>
    <row r="253" spans="1:16" ht="12.75">
      <c r="A253">
        <v>6</v>
      </c>
      <c r="B253" t="s">
        <v>650</v>
      </c>
      <c r="C253" t="s">
        <v>651</v>
      </c>
      <c r="D253">
        <v>881.44</v>
      </c>
      <c r="E253">
        <v>2.62</v>
      </c>
      <c r="F253">
        <v>22</v>
      </c>
      <c r="K253">
        <v>6</v>
      </c>
      <c r="L253" t="s">
        <v>686</v>
      </c>
      <c r="M253" t="s">
        <v>687</v>
      </c>
      <c r="N253">
        <v>171.93</v>
      </c>
      <c r="O253">
        <v>0.51</v>
      </c>
      <c r="P253">
        <v>22</v>
      </c>
    </row>
    <row r="254" spans="1:16" ht="12.75">
      <c r="A254">
        <v>6</v>
      </c>
      <c r="B254" t="s">
        <v>652</v>
      </c>
      <c r="C254" t="s">
        <v>653</v>
      </c>
      <c r="D254">
        <v>496.54</v>
      </c>
      <c r="E254">
        <v>1.48</v>
      </c>
      <c r="F254">
        <v>22</v>
      </c>
      <c r="K254">
        <v>6</v>
      </c>
      <c r="L254" t="s">
        <v>688</v>
      </c>
      <c r="M254" t="s">
        <v>689</v>
      </c>
      <c r="N254">
        <v>243.57</v>
      </c>
      <c r="O254">
        <v>0.73</v>
      </c>
      <c r="P254">
        <v>22</v>
      </c>
    </row>
    <row r="255" spans="1:16" ht="12.75">
      <c r="A255">
        <v>6</v>
      </c>
      <c r="B255" t="s">
        <v>654</v>
      </c>
      <c r="C255" t="s">
        <v>655</v>
      </c>
      <c r="D255">
        <v>255</v>
      </c>
      <c r="E255">
        <v>0.76</v>
      </c>
      <c r="F255">
        <v>22</v>
      </c>
      <c r="K255">
        <v>6</v>
      </c>
      <c r="L255" t="s">
        <v>690</v>
      </c>
      <c r="M255" t="s">
        <v>691</v>
      </c>
      <c r="N255">
        <v>75</v>
      </c>
      <c r="O255">
        <v>0.22</v>
      </c>
      <c r="P255">
        <v>22</v>
      </c>
    </row>
    <row r="256" spans="1:16" ht="12.75">
      <c r="A256">
        <v>6</v>
      </c>
      <c r="B256" t="s">
        <v>656</v>
      </c>
      <c r="C256" t="s">
        <v>657</v>
      </c>
      <c r="D256">
        <v>137</v>
      </c>
      <c r="E256">
        <v>0.41</v>
      </c>
      <c r="F256">
        <v>22</v>
      </c>
      <c r="K256">
        <v>6</v>
      </c>
      <c r="L256" t="s">
        <v>692</v>
      </c>
      <c r="M256" t="s">
        <v>693</v>
      </c>
      <c r="N256">
        <v>160.6</v>
      </c>
      <c r="O256">
        <v>0.48</v>
      </c>
      <c r="P256">
        <v>22</v>
      </c>
    </row>
    <row r="257" spans="1:16" ht="12.75">
      <c r="A257">
        <v>6</v>
      </c>
      <c r="B257" t="s">
        <v>658</v>
      </c>
      <c r="C257" t="s">
        <v>659</v>
      </c>
      <c r="D257">
        <v>137</v>
      </c>
      <c r="E257">
        <v>0.41</v>
      </c>
      <c r="F257">
        <v>22</v>
      </c>
      <c r="K257">
        <v>6</v>
      </c>
      <c r="L257" t="s">
        <v>694</v>
      </c>
      <c r="M257" t="s">
        <v>695</v>
      </c>
      <c r="N257">
        <v>226.03</v>
      </c>
      <c r="O257">
        <v>0.67</v>
      </c>
      <c r="P257">
        <v>22</v>
      </c>
    </row>
    <row r="258" spans="1:16" ht="12.75">
      <c r="A258">
        <v>6</v>
      </c>
      <c r="B258" t="s">
        <v>660</v>
      </c>
      <c r="C258" t="s">
        <v>661</v>
      </c>
      <c r="D258">
        <v>157</v>
      </c>
      <c r="E258">
        <v>0.47</v>
      </c>
      <c r="F258">
        <v>22</v>
      </c>
      <c r="K258">
        <v>6</v>
      </c>
      <c r="L258" t="s">
        <v>696</v>
      </c>
      <c r="M258" t="s">
        <v>697</v>
      </c>
      <c r="N258">
        <v>71.38</v>
      </c>
      <c r="O258">
        <v>0.21</v>
      </c>
      <c r="P258">
        <v>22</v>
      </c>
    </row>
    <row r="259" spans="1:16" ht="12.75">
      <c r="A259">
        <v>6</v>
      </c>
      <c r="B259" t="s">
        <v>662</v>
      </c>
      <c r="C259" t="s">
        <v>663</v>
      </c>
      <c r="D259">
        <v>774</v>
      </c>
      <c r="E259">
        <v>2.3</v>
      </c>
      <c r="F259">
        <v>22</v>
      </c>
      <c r="K259">
        <v>6</v>
      </c>
      <c r="L259" t="s">
        <v>700</v>
      </c>
      <c r="M259" t="s">
        <v>701</v>
      </c>
      <c r="N259">
        <v>350.6</v>
      </c>
      <c r="O259">
        <v>1.04</v>
      </c>
      <c r="P259">
        <v>22</v>
      </c>
    </row>
    <row r="260" spans="1:16" ht="12.75">
      <c r="A260">
        <v>6</v>
      </c>
      <c r="B260" t="s">
        <v>664</v>
      </c>
      <c r="C260" t="s">
        <v>665</v>
      </c>
      <c r="D260">
        <v>647</v>
      </c>
      <c r="E260">
        <v>1.93</v>
      </c>
      <c r="F260">
        <v>22</v>
      </c>
      <c r="K260">
        <v>6</v>
      </c>
      <c r="L260" t="s">
        <v>702</v>
      </c>
      <c r="M260" t="s">
        <v>703</v>
      </c>
      <c r="N260">
        <v>167.33</v>
      </c>
      <c r="O260">
        <v>0.5</v>
      </c>
      <c r="P260">
        <v>22</v>
      </c>
    </row>
    <row r="261" spans="1:16" ht="12.75">
      <c r="A261">
        <v>6</v>
      </c>
      <c r="B261" t="s">
        <v>666</v>
      </c>
      <c r="C261" t="s">
        <v>667</v>
      </c>
      <c r="D261">
        <v>440</v>
      </c>
      <c r="E261">
        <v>1.31</v>
      </c>
      <c r="F261" s="1">
        <v>22</v>
      </c>
      <c r="K261">
        <v>6</v>
      </c>
      <c r="L261" t="s">
        <v>704</v>
      </c>
      <c r="M261" t="s">
        <v>705</v>
      </c>
      <c r="N261">
        <v>231.07</v>
      </c>
      <c r="O261">
        <v>0.69</v>
      </c>
      <c r="P261">
        <v>22</v>
      </c>
    </row>
    <row r="262" spans="1:16" ht="12.75">
      <c r="A262">
        <v>6</v>
      </c>
      <c r="B262" t="s">
        <v>668</v>
      </c>
      <c r="C262" t="s">
        <v>669</v>
      </c>
      <c r="D262">
        <v>486.14</v>
      </c>
      <c r="E262">
        <v>1.45</v>
      </c>
      <c r="F262">
        <v>22</v>
      </c>
      <c r="K262">
        <v>6</v>
      </c>
      <c r="L262" t="s">
        <v>706</v>
      </c>
      <c r="M262" t="s">
        <v>707</v>
      </c>
      <c r="N262">
        <v>275</v>
      </c>
      <c r="O262">
        <v>0.82</v>
      </c>
      <c r="P262">
        <v>22</v>
      </c>
    </row>
    <row r="263" spans="1:16" ht="12.75">
      <c r="A263">
        <v>6</v>
      </c>
      <c r="B263" t="s">
        <v>670</v>
      </c>
      <c r="C263" t="s">
        <v>671</v>
      </c>
      <c r="D263">
        <v>318.65</v>
      </c>
      <c r="E263">
        <v>0.95</v>
      </c>
      <c r="F263">
        <v>22</v>
      </c>
      <c r="K263">
        <v>6</v>
      </c>
      <c r="L263" t="s">
        <v>708</v>
      </c>
      <c r="M263" t="s">
        <v>709</v>
      </c>
      <c r="N263">
        <v>168.38</v>
      </c>
      <c r="O263">
        <v>0.5</v>
      </c>
      <c r="P263">
        <v>22</v>
      </c>
    </row>
    <row r="264" spans="1:16" ht="12.75">
      <c r="A264">
        <v>6</v>
      </c>
      <c r="B264" t="s">
        <v>672</v>
      </c>
      <c r="C264" t="s">
        <v>673</v>
      </c>
      <c r="D264">
        <v>114.39</v>
      </c>
      <c r="E264">
        <v>0.34</v>
      </c>
      <c r="F264">
        <v>22</v>
      </c>
      <c r="K264">
        <v>6</v>
      </c>
      <c r="L264" t="s">
        <v>710</v>
      </c>
      <c r="M264" t="s">
        <v>711</v>
      </c>
      <c r="N264">
        <v>86.06</v>
      </c>
      <c r="O264">
        <v>0.26</v>
      </c>
      <c r="P264">
        <v>22</v>
      </c>
    </row>
    <row r="265" spans="1:16" ht="12.75">
      <c r="A265">
        <v>6</v>
      </c>
      <c r="B265" t="s">
        <v>674</v>
      </c>
      <c r="C265" t="s">
        <v>675</v>
      </c>
      <c r="D265">
        <v>518.82</v>
      </c>
      <c r="E265">
        <v>1.54</v>
      </c>
      <c r="F265">
        <v>22</v>
      </c>
      <c r="K265">
        <v>6</v>
      </c>
      <c r="L265" t="s">
        <v>712</v>
      </c>
      <c r="M265" t="s">
        <v>713</v>
      </c>
      <c r="N265">
        <v>194.57</v>
      </c>
      <c r="O265">
        <v>0.58</v>
      </c>
      <c r="P265">
        <v>22</v>
      </c>
    </row>
    <row r="266" spans="1:16" ht="12.75">
      <c r="A266">
        <v>6</v>
      </c>
      <c r="B266" t="s">
        <v>676</v>
      </c>
      <c r="C266" t="s">
        <v>677</v>
      </c>
      <c r="D266">
        <v>410.59</v>
      </c>
      <c r="E266">
        <v>1.22</v>
      </c>
      <c r="F266">
        <v>22</v>
      </c>
      <c r="K266">
        <v>6</v>
      </c>
      <c r="L266" t="s">
        <v>714</v>
      </c>
      <c r="M266" t="s">
        <v>715</v>
      </c>
      <c r="N266">
        <v>205.42</v>
      </c>
      <c r="O266">
        <v>0.61</v>
      </c>
      <c r="P266">
        <v>22</v>
      </c>
    </row>
    <row r="267" spans="1:16" ht="12.75">
      <c r="A267">
        <v>6</v>
      </c>
      <c r="B267" t="s">
        <v>678</v>
      </c>
      <c r="C267" t="s">
        <v>679</v>
      </c>
      <c r="D267">
        <v>266.79</v>
      </c>
      <c r="E267">
        <v>0.79</v>
      </c>
      <c r="F267">
        <v>22</v>
      </c>
      <c r="K267">
        <v>6</v>
      </c>
      <c r="L267" t="s">
        <v>716</v>
      </c>
      <c r="M267" t="s">
        <v>717</v>
      </c>
      <c r="N267">
        <v>367.58</v>
      </c>
      <c r="O267">
        <v>1.09</v>
      </c>
      <c r="P267">
        <v>22</v>
      </c>
    </row>
    <row r="268" spans="1:16" ht="12.75">
      <c r="A268">
        <v>6</v>
      </c>
      <c r="B268" t="s">
        <v>680</v>
      </c>
      <c r="C268" t="s">
        <v>681</v>
      </c>
      <c r="D268">
        <v>266.5</v>
      </c>
      <c r="E268">
        <v>0.79</v>
      </c>
      <c r="F268">
        <v>22</v>
      </c>
      <c r="K268">
        <v>6</v>
      </c>
      <c r="L268" t="s">
        <v>718</v>
      </c>
      <c r="M268" t="s">
        <v>719</v>
      </c>
      <c r="N268">
        <v>594</v>
      </c>
      <c r="O268">
        <v>1.77</v>
      </c>
      <c r="P268">
        <v>22</v>
      </c>
    </row>
    <row r="269" spans="1:16" ht="12.75">
      <c r="A269">
        <v>6</v>
      </c>
      <c r="B269" t="s">
        <v>682</v>
      </c>
      <c r="C269" t="s">
        <v>683</v>
      </c>
      <c r="D269">
        <v>594.21</v>
      </c>
      <c r="E269">
        <v>1.77</v>
      </c>
      <c r="F269">
        <v>22</v>
      </c>
      <c r="K269">
        <v>6</v>
      </c>
      <c r="L269" t="s">
        <v>720</v>
      </c>
      <c r="M269" t="s">
        <v>721</v>
      </c>
      <c r="N269">
        <v>154.82</v>
      </c>
      <c r="O269">
        <v>0.46</v>
      </c>
      <c r="P269">
        <v>22</v>
      </c>
    </row>
    <row r="270" spans="1:16" ht="12.75">
      <c r="A270">
        <v>6</v>
      </c>
      <c r="B270" t="s">
        <v>684</v>
      </c>
      <c r="C270" t="s">
        <v>685</v>
      </c>
      <c r="D270">
        <v>280.41</v>
      </c>
      <c r="E270">
        <v>0.83</v>
      </c>
      <c r="F270">
        <v>22</v>
      </c>
      <c r="K270">
        <v>6</v>
      </c>
      <c r="L270" t="s">
        <v>722</v>
      </c>
      <c r="M270" t="s">
        <v>723</v>
      </c>
      <c r="N270">
        <v>185.18</v>
      </c>
      <c r="O270">
        <v>0.55</v>
      </c>
      <c r="P270">
        <v>22</v>
      </c>
    </row>
    <row r="271" spans="1:16" ht="12.75">
      <c r="A271">
        <v>6</v>
      </c>
      <c r="B271" t="s">
        <v>686</v>
      </c>
      <c r="C271" t="s">
        <v>687</v>
      </c>
      <c r="D271">
        <v>171.93</v>
      </c>
      <c r="E271">
        <v>0.51</v>
      </c>
      <c r="F271">
        <v>22</v>
      </c>
      <c r="K271">
        <v>6</v>
      </c>
      <c r="L271" t="s">
        <v>724</v>
      </c>
      <c r="M271" t="s">
        <v>725</v>
      </c>
      <c r="N271">
        <v>95.02</v>
      </c>
      <c r="O271">
        <v>0.28</v>
      </c>
      <c r="P271">
        <v>22</v>
      </c>
    </row>
    <row r="272" spans="1:16" ht="12.75">
      <c r="A272">
        <v>6</v>
      </c>
      <c r="B272" t="s">
        <v>688</v>
      </c>
      <c r="C272" t="s">
        <v>689</v>
      </c>
      <c r="D272">
        <v>243.57</v>
      </c>
      <c r="E272">
        <v>0.73</v>
      </c>
      <c r="F272">
        <v>22</v>
      </c>
      <c r="K272">
        <v>6</v>
      </c>
      <c r="L272" t="s">
        <v>726</v>
      </c>
      <c r="M272" t="s">
        <v>727</v>
      </c>
      <c r="N272">
        <v>570.56</v>
      </c>
      <c r="O272">
        <v>1.7</v>
      </c>
      <c r="P272">
        <v>22</v>
      </c>
    </row>
    <row r="273" spans="1:16" ht="12.75">
      <c r="A273">
        <v>6</v>
      </c>
      <c r="B273" t="s">
        <v>690</v>
      </c>
      <c r="C273" t="s">
        <v>691</v>
      </c>
      <c r="D273">
        <v>75</v>
      </c>
      <c r="E273">
        <v>0.22</v>
      </c>
      <c r="F273">
        <v>22</v>
      </c>
      <c r="K273">
        <v>6</v>
      </c>
      <c r="L273" t="s">
        <v>728</v>
      </c>
      <c r="M273" t="s">
        <v>729</v>
      </c>
      <c r="N273">
        <v>84.79</v>
      </c>
      <c r="O273">
        <v>0.25</v>
      </c>
      <c r="P273">
        <v>22</v>
      </c>
    </row>
    <row r="274" spans="1:16" ht="12.75">
      <c r="A274">
        <v>6</v>
      </c>
      <c r="B274" t="s">
        <v>692</v>
      </c>
      <c r="C274" t="s">
        <v>693</v>
      </c>
      <c r="D274">
        <v>160.6</v>
      </c>
      <c r="E274">
        <v>0.48</v>
      </c>
      <c r="F274">
        <v>22</v>
      </c>
      <c r="K274">
        <v>6</v>
      </c>
      <c r="L274" t="s">
        <v>730</v>
      </c>
      <c r="M274" t="s">
        <v>731</v>
      </c>
      <c r="N274">
        <v>359.63</v>
      </c>
      <c r="O274">
        <v>1.07</v>
      </c>
      <c r="P274">
        <v>22</v>
      </c>
    </row>
    <row r="275" spans="1:16" ht="12.75">
      <c r="A275">
        <v>6</v>
      </c>
      <c r="B275" t="s">
        <v>694</v>
      </c>
      <c r="C275" t="s">
        <v>695</v>
      </c>
      <c r="D275">
        <v>226.03</v>
      </c>
      <c r="E275">
        <v>0.67</v>
      </c>
      <c r="F275">
        <v>22</v>
      </c>
      <c r="K275">
        <v>6</v>
      </c>
      <c r="L275" t="s">
        <v>732</v>
      </c>
      <c r="M275" t="s">
        <v>733</v>
      </c>
      <c r="N275">
        <v>390.62</v>
      </c>
      <c r="O275">
        <v>1.16</v>
      </c>
      <c r="P275">
        <v>22</v>
      </c>
    </row>
    <row r="276" spans="1:16" ht="12.75">
      <c r="A276">
        <v>6</v>
      </c>
      <c r="B276" t="s">
        <v>696</v>
      </c>
      <c r="C276" t="s">
        <v>697</v>
      </c>
      <c r="D276">
        <v>71.38</v>
      </c>
      <c r="E276">
        <v>0.21</v>
      </c>
      <c r="F276">
        <v>22</v>
      </c>
      <c r="K276">
        <v>6</v>
      </c>
      <c r="L276" t="s">
        <v>734</v>
      </c>
      <c r="M276" t="s">
        <v>735</v>
      </c>
      <c r="N276">
        <v>197.46</v>
      </c>
      <c r="O276">
        <v>0.59</v>
      </c>
      <c r="P276">
        <v>22</v>
      </c>
    </row>
    <row r="277" spans="1:16" ht="12.75">
      <c r="A277">
        <v>6</v>
      </c>
      <c r="B277" t="s">
        <v>698</v>
      </c>
      <c r="C277" t="s">
        <v>699</v>
      </c>
      <c r="D277">
        <v>303</v>
      </c>
      <c r="E277">
        <v>0.9</v>
      </c>
      <c r="F277" s="1">
        <v>22</v>
      </c>
      <c r="K277">
        <v>6</v>
      </c>
      <c r="L277" t="s">
        <v>736</v>
      </c>
      <c r="M277" t="s">
        <v>737</v>
      </c>
      <c r="N277">
        <v>218.92</v>
      </c>
      <c r="O277">
        <v>0.65</v>
      </c>
      <c r="P277">
        <v>22</v>
      </c>
    </row>
    <row r="278" spans="1:16" ht="12.75">
      <c r="A278">
        <v>6</v>
      </c>
      <c r="B278" t="s">
        <v>700</v>
      </c>
      <c r="C278" t="s">
        <v>701</v>
      </c>
      <c r="D278">
        <v>350.6</v>
      </c>
      <c r="E278">
        <v>1.04</v>
      </c>
      <c r="F278">
        <v>22</v>
      </c>
      <c r="K278">
        <v>6</v>
      </c>
      <c r="L278" t="s">
        <v>738</v>
      </c>
      <c r="M278" t="s">
        <v>739</v>
      </c>
      <c r="N278">
        <v>182.12</v>
      </c>
      <c r="O278">
        <v>0.54</v>
      </c>
      <c r="P278">
        <v>22</v>
      </c>
    </row>
    <row r="279" spans="1:17" ht="12.75">
      <c r="A279">
        <v>6</v>
      </c>
      <c r="B279" t="s">
        <v>702</v>
      </c>
      <c r="C279" t="s">
        <v>703</v>
      </c>
      <c r="D279">
        <v>167.33</v>
      </c>
      <c r="E279">
        <v>0.5</v>
      </c>
      <c r="F279">
        <v>22</v>
      </c>
      <c r="K279" s="19">
        <v>6</v>
      </c>
      <c r="L279" s="19" t="s">
        <v>740</v>
      </c>
      <c r="M279" s="19" t="s">
        <v>741</v>
      </c>
      <c r="N279" s="19">
        <v>128.88</v>
      </c>
      <c r="O279" s="19">
        <v>0.38</v>
      </c>
      <c r="P279" s="19">
        <v>22</v>
      </c>
      <c r="Q279" s="19"/>
    </row>
    <row r="280" spans="1:16" ht="12.75">
      <c r="A280">
        <v>6</v>
      </c>
      <c r="B280" t="s">
        <v>704</v>
      </c>
      <c r="C280" t="s">
        <v>705</v>
      </c>
      <c r="D280">
        <v>231.07</v>
      </c>
      <c r="E280">
        <v>0.69</v>
      </c>
      <c r="F280">
        <v>22</v>
      </c>
      <c r="K280">
        <v>6</v>
      </c>
      <c r="L280" t="s">
        <v>750</v>
      </c>
      <c r="M280" t="s">
        <v>751</v>
      </c>
      <c r="N280">
        <v>176.25</v>
      </c>
      <c r="O280">
        <v>0.52</v>
      </c>
      <c r="P280">
        <v>22</v>
      </c>
    </row>
    <row r="281" spans="1:16" ht="12.75">
      <c r="A281">
        <v>6</v>
      </c>
      <c r="B281" t="s">
        <v>706</v>
      </c>
      <c r="C281" t="s">
        <v>707</v>
      </c>
      <c r="D281">
        <v>275</v>
      </c>
      <c r="E281">
        <v>0.82</v>
      </c>
      <c r="F281">
        <v>22</v>
      </c>
      <c r="K281">
        <v>6</v>
      </c>
      <c r="L281" t="s">
        <v>752</v>
      </c>
      <c r="M281" t="s">
        <v>753</v>
      </c>
      <c r="N281">
        <v>760</v>
      </c>
      <c r="O281">
        <v>2.26</v>
      </c>
      <c r="P281">
        <v>22</v>
      </c>
    </row>
    <row r="282" spans="1:16" ht="12.75">
      <c r="A282">
        <v>6</v>
      </c>
      <c r="B282" t="s">
        <v>708</v>
      </c>
      <c r="C282" t="s">
        <v>709</v>
      </c>
      <c r="D282">
        <v>168.38</v>
      </c>
      <c r="E282">
        <v>0.5</v>
      </c>
      <c r="F282">
        <v>22</v>
      </c>
      <c r="K282">
        <v>6</v>
      </c>
      <c r="L282" t="s">
        <v>754</v>
      </c>
      <c r="M282" t="s">
        <v>755</v>
      </c>
      <c r="N282">
        <v>1823</v>
      </c>
      <c r="O282">
        <v>5.43</v>
      </c>
      <c r="P282">
        <v>22</v>
      </c>
    </row>
    <row r="283" spans="1:16" ht="12.75">
      <c r="A283">
        <v>6</v>
      </c>
      <c r="B283" t="s">
        <v>710</v>
      </c>
      <c r="C283" t="s">
        <v>711</v>
      </c>
      <c r="D283">
        <v>86.06</v>
      </c>
      <c r="E283">
        <v>0.26</v>
      </c>
      <c r="F283">
        <v>22</v>
      </c>
      <c r="K283">
        <v>6</v>
      </c>
      <c r="L283" t="s">
        <v>756</v>
      </c>
      <c r="M283" t="s">
        <v>757</v>
      </c>
      <c r="N283">
        <v>109</v>
      </c>
      <c r="O283">
        <v>0.32</v>
      </c>
      <c r="P283">
        <v>22</v>
      </c>
    </row>
    <row r="284" spans="1:16" ht="12.75">
      <c r="A284">
        <v>6</v>
      </c>
      <c r="B284" t="s">
        <v>712</v>
      </c>
      <c r="C284" t="s">
        <v>713</v>
      </c>
      <c r="D284">
        <v>194.57</v>
      </c>
      <c r="E284">
        <v>0.58</v>
      </c>
      <c r="F284">
        <v>22</v>
      </c>
      <c r="K284">
        <v>6</v>
      </c>
      <c r="L284" t="s">
        <v>758</v>
      </c>
      <c r="M284" t="s">
        <v>759</v>
      </c>
      <c r="N284">
        <v>85.68</v>
      </c>
      <c r="O284">
        <v>0.26</v>
      </c>
      <c r="P284">
        <v>22</v>
      </c>
    </row>
    <row r="285" spans="1:17" ht="12.75">
      <c r="A285">
        <v>6</v>
      </c>
      <c r="B285" t="s">
        <v>714</v>
      </c>
      <c r="C285" t="s">
        <v>715</v>
      </c>
      <c r="D285">
        <v>205.42</v>
      </c>
      <c r="E285">
        <v>0.61</v>
      </c>
      <c r="F285">
        <v>22</v>
      </c>
      <c r="K285" s="19">
        <v>6</v>
      </c>
      <c r="L285" s="19" t="s">
        <v>760</v>
      </c>
      <c r="M285" s="19" t="s">
        <v>761</v>
      </c>
      <c r="N285" s="19">
        <v>113.32</v>
      </c>
      <c r="O285" s="19">
        <v>0.34</v>
      </c>
      <c r="P285" s="19">
        <v>22</v>
      </c>
      <c r="Q285" s="19"/>
    </row>
    <row r="286" spans="1:19" ht="12.75">
      <c r="A286">
        <v>6</v>
      </c>
      <c r="B286" t="s">
        <v>716</v>
      </c>
      <c r="C286" t="s">
        <v>717</v>
      </c>
      <c r="D286">
        <v>367.58</v>
      </c>
      <c r="E286">
        <v>1.09</v>
      </c>
      <c r="F286">
        <v>22</v>
      </c>
      <c r="K286">
        <v>6</v>
      </c>
      <c r="L286" t="s">
        <v>776</v>
      </c>
      <c r="M286" t="s">
        <v>777</v>
      </c>
      <c r="N286">
        <v>8005.46</v>
      </c>
      <c r="O286">
        <v>23.83</v>
      </c>
      <c r="P286">
        <v>22</v>
      </c>
      <c r="Q286" s="9"/>
      <c r="R286" s="9"/>
      <c r="S286" s="9"/>
    </row>
    <row r="287" spans="1:17" ht="12.75">
      <c r="A287">
        <v>6</v>
      </c>
      <c r="B287" t="s">
        <v>718</v>
      </c>
      <c r="C287" t="s">
        <v>719</v>
      </c>
      <c r="D287">
        <v>594</v>
      </c>
      <c r="E287">
        <v>1.77</v>
      </c>
      <c r="F287">
        <v>22</v>
      </c>
      <c r="K287">
        <v>6</v>
      </c>
      <c r="L287" t="s">
        <v>778</v>
      </c>
      <c r="M287" t="s">
        <v>779</v>
      </c>
      <c r="N287">
        <v>9428.54</v>
      </c>
      <c r="O287">
        <v>28.07</v>
      </c>
      <c r="P287">
        <v>22</v>
      </c>
      <c r="Q287" t="s">
        <v>1144</v>
      </c>
    </row>
    <row r="288" spans="1:16" ht="12.75">
      <c r="A288">
        <v>6</v>
      </c>
      <c r="B288" t="s">
        <v>720</v>
      </c>
      <c r="C288" t="s">
        <v>721</v>
      </c>
      <c r="D288">
        <v>154.82</v>
      </c>
      <c r="E288">
        <v>0.46</v>
      </c>
      <c r="F288">
        <v>22</v>
      </c>
      <c r="K288">
        <v>6</v>
      </c>
      <c r="L288" t="s">
        <v>780</v>
      </c>
      <c r="M288" t="s">
        <v>781</v>
      </c>
      <c r="N288">
        <v>530</v>
      </c>
      <c r="O288">
        <v>1.58</v>
      </c>
      <c r="P288">
        <v>22</v>
      </c>
    </row>
    <row r="289" spans="1:16" ht="12.75">
      <c r="A289">
        <v>6</v>
      </c>
      <c r="B289" t="s">
        <v>722</v>
      </c>
      <c r="C289" t="s">
        <v>723</v>
      </c>
      <c r="D289">
        <v>185.18</v>
      </c>
      <c r="E289">
        <v>0.55</v>
      </c>
      <c r="F289">
        <v>22</v>
      </c>
      <c r="K289">
        <v>6</v>
      </c>
      <c r="L289" t="s">
        <v>782</v>
      </c>
      <c r="M289" t="s">
        <v>783</v>
      </c>
      <c r="N289">
        <v>711</v>
      </c>
      <c r="O289">
        <v>2.12</v>
      </c>
      <c r="P289">
        <v>22</v>
      </c>
    </row>
    <row r="290" spans="1:16" ht="12.75">
      <c r="A290">
        <v>6</v>
      </c>
      <c r="B290" t="s">
        <v>724</v>
      </c>
      <c r="C290" t="s">
        <v>725</v>
      </c>
      <c r="D290">
        <v>95.02</v>
      </c>
      <c r="E290">
        <v>0.28</v>
      </c>
      <c r="F290">
        <v>22</v>
      </c>
      <c r="K290">
        <v>6</v>
      </c>
      <c r="L290" t="s">
        <v>784</v>
      </c>
      <c r="M290" t="s">
        <v>785</v>
      </c>
      <c r="N290">
        <v>538</v>
      </c>
      <c r="O290">
        <v>1.6</v>
      </c>
      <c r="P290">
        <v>22</v>
      </c>
    </row>
    <row r="291" spans="1:16" ht="12.75">
      <c r="A291">
        <v>6</v>
      </c>
      <c r="B291" t="s">
        <v>726</v>
      </c>
      <c r="C291" t="s">
        <v>727</v>
      </c>
      <c r="D291">
        <v>570.56</v>
      </c>
      <c r="E291">
        <v>1.7</v>
      </c>
      <c r="F291">
        <v>22</v>
      </c>
      <c r="K291">
        <v>6</v>
      </c>
      <c r="L291" t="s">
        <v>786</v>
      </c>
      <c r="M291" t="s">
        <v>787</v>
      </c>
      <c r="N291">
        <v>538</v>
      </c>
      <c r="O291">
        <v>1.6</v>
      </c>
      <c r="P291">
        <v>22</v>
      </c>
    </row>
    <row r="292" spans="1:16" ht="12.75">
      <c r="A292">
        <v>6</v>
      </c>
      <c r="B292" t="s">
        <v>728</v>
      </c>
      <c r="C292" t="s">
        <v>729</v>
      </c>
      <c r="D292">
        <v>84.79</v>
      </c>
      <c r="E292">
        <v>0.25</v>
      </c>
      <c r="F292">
        <v>22</v>
      </c>
      <c r="K292">
        <v>6</v>
      </c>
      <c r="L292" t="s">
        <v>788</v>
      </c>
      <c r="M292" t="s">
        <v>789</v>
      </c>
      <c r="N292">
        <v>2200.79</v>
      </c>
      <c r="O292">
        <v>6.55</v>
      </c>
      <c r="P292">
        <v>22</v>
      </c>
    </row>
    <row r="293" spans="1:16" ht="12.75">
      <c r="A293">
        <v>6</v>
      </c>
      <c r="B293" t="s">
        <v>730</v>
      </c>
      <c r="C293" t="s">
        <v>731</v>
      </c>
      <c r="D293">
        <v>359.63</v>
      </c>
      <c r="E293">
        <v>1.07</v>
      </c>
      <c r="F293">
        <v>22</v>
      </c>
      <c r="K293">
        <v>6</v>
      </c>
      <c r="L293" t="s">
        <v>790</v>
      </c>
      <c r="M293" t="s">
        <v>791</v>
      </c>
      <c r="N293">
        <v>123.61</v>
      </c>
      <c r="O293">
        <v>0.37</v>
      </c>
      <c r="P293">
        <v>22</v>
      </c>
    </row>
    <row r="294" spans="1:16" ht="12.75">
      <c r="A294">
        <v>6</v>
      </c>
      <c r="B294" t="s">
        <v>732</v>
      </c>
      <c r="C294" t="s">
        <v>733</v>
      </c>
      <c r="D294">
        <v>390.62</v>
      </c>
      <c r="E294">
        <v>1.16</v>
      </c>
      <c r="F294">
        <v>22</v>
      </c>
      <c r="K294">
        <v>6</v>
      </c>
      <c r="L294" t="s">
        <v>792</v>
      </c>
      <c r="M294" t="s">
        <v>793</v>
      </c>
      <c r="N294">
        <v>123.61</v>
      </c>
      <c r="O294">
        <v>0.37</v>
      </c>
      <c r="P294">
        <v>22</v>
      </c>
    </row>
    <row r="295" spans="1:16" ht="12.75">
      <c r="A295">
        <v>6</v>
      </c>
      <c r="B295" t="s">
        <v>734</v>
      </c>
      <c r="C295" t="s">
        <v>735</v>
      </c>
      <c r="D295">
        <v>197.46</v>
      </c>
      <c r="E295">
        <v>0.59</v>
      </c>
      <c r="F295">
        <v>22</v>
      </c>
      <c r="K295">
        <v>6</v>
      </c>
      <c r="L295" t="s">
        <v>794</v>
      </c>
      <c r="M295" t="s">
        <v>795</v>
      </c>
      <c r="N295">
        <v>13093.59</v>
      </c>
      <c r="O295">
        <v>38.98</v>
      </c>
      <c r="P295">
        <v>22</v>
      </c>
    </row>
    <row r="296" spans="1:16" ht="12.75">
      <c r="A296">
        <v>6</v>
      </c>
      <c r="B296" t="s">
        <v>736</v>
      </c>
      <c r="C296" t="s">
        <v>737</v>
      </c>
      <c r="D296">
        <v>218.92</v>
      </c>
      <c r="E296">
        <v>0.65</v>
      </c>
      <c r="F296">
        <v>22</v>
      </c>
      <c r="K296">
        <v>6</v>
      </c>
      <c r="L296" t="s">
        <v>796</v>
      </c>
      <c r="M296" t="s">
        <v>797</v>
      </c>
      <c r="N296">
        <v>1050.75</v>
      </c>
      <c r="O296">
        <v>3.13</v>
      </c>
      <c r="P296">
        <v>22</v>
      </c>
    </row>
    <row r="297" spans="1:17" ht="12.75">
      <c r="A297">
        <v>6</v>
      </c>
      <c r="B297" t="s">
        <v>738</v>
      </c>
      <c r="C297" t="s">
        <v>739</v>
      </c>
      <c r="D297">
        <v>182.12</v>
      </c>
      <c r="E297">
        <v>0.54</v>
      </c>
      <c r="F297">
        <v>22</v>
      </c>
      <c r="K297" s="19">
        <v>6</v>
      </c>
      <c r="L297" s="19" t="s">
        <v>798</v>
      </c>
      <c r="M297" s="19" t="s">
        <v>799</v>
      </c>
      <c r="N297" s="19">
        <v>280.66</v>
      </c>
      <c r="O297" s="19">
        <v>0.84</v>
      </c>
      <c r="P297" s="19">
        <v>22</v>
      </c>
      <c r="Q297" s="19"/>
    </row>
    <row r="298" spans="1:20" ht="12.75">
      <c r="A298">
        <v>6</v>
      </c>
      <c r="B298" t="s">
        <v>740</v>
      </c>
      <c r="C298" t="s">
        <v>741</v>
      </c>
      <c r="D298">
        <v>128.88</v>
      </c>
      <c r="E298">
        <v>0.38</v>
      </c>
      <c r="F298">
        <v>22</v>
      </c>
      <c r="K298">
        <v>6</v>
      </c>
      <c r="L298" t="s">
        <v>836</v>
      </c>
      <c r="M298" t="s">
        <v>837</v>
      </c>
      <c r="N298">
        <f>385.84*0.8</f>
        <v>308.672</v>
      </c>
      <c r="O298">
        <f>1.15*0.8</f>
        <v>0.9199999999999999</v>
      </c>
      <c r="P298">
        <v>22</v>
      </c>
      <c r="Q298" t="s">
        <v>1144</v>
      </c>
      <c r="T298" s="9"/>
    </row>
    <row r="299" spans="1:20" ht="12.75">
      <c r="A299" s="19">
        <v>6</v>
      </c>
      <c r="B299" s="19" t="s">
        <v>742</v>
      </c>
      <c r="C299" s="19" t="s">
        <v>743</v>
      </c>
      <c r="D299" s="19">
        <v>496</v>
      </c>
      <c r="E299" s="19">
        <v>1.48</v>
      </c>
      <c r="F299" s="143">
        <v>22</v>
      </c>
      <c r="G299" s="19">
        <v>16890</v>
      </c>
      <c r="H299" s="19">
        <v>50.28</v>
      </c>
      <c r="I299" s="19">
        <v>22</v>
      </c>
      <c r="K299">
        <v>6</v>
      </c>
      <c r="L299" t="s">
        <v>838</v>
      </c>
      <c r="M299" t="s">
        <v>839</v>
      </c>
      <c r="N299">
        <v>58.16</v>
      </c>
      <c r="O299">
        <v>0.17</v>
      </c>
      <c r="P299">
        <v>22</v>
      </c>
      <c r="T299" s="9"/>
    </row>
    <row r="300" spans="1:18" ht="12.75">
      <c r="A300">
        <v>6</v>
      </c>
      <c r="B300" t="s">
        <v>744</v>
      </c>
      <c r="C300" t="s">
        <v>745</v>
      </c>
      <c r="D300">
        <v>2499.97</v>
      </c>
      <c r="E300">
        <v>7.44</v>
      </c>
      <c r="F300">
        <v>8</v>
      </c>
      <c r="K300" s="19">
        <v>6</v>
      </c>
      <c r="L300" s="19" t="s">
        <v>840</v>
      </c>
      <c r="M300" s="19" t="s">
        <v>841</v>
      </c>
      <c r="N300" s="19">
        <v>1279</v>
      </c>
      <c r="O300" s="19">
        <v>3.81</v>
      </c>
      <c r="P300" s="19">
        <v>22</v>
      </c>
      <c r="Q300" s="19" t="s">
        <v>13</v>
      </c>
      <c r="R300" t="s">
        <v>13</v>
      </c>
    </row>
    <row r="301" spans="1:20" ht="12.75">
      <c r="A301">
        <v>6</v>
      </c>
      <c r="B301" t="s">
        <v>746</v>
      </c>
      <c r="C301" t="s">
        <v>747</v>
      </c>
      <c r="D301">
        <v>534.05</v>
      </c>
      <c r="E301">
        <v>1.59</v>
      </c>
      <c r="F301">
        <v>8</v>
      </c>
      <c r="K301">
        <v>6</v>
      </c>
      <c r="L301" t="s">
        <v>850</v>
      </c>
      <c r="M301" t="s">
        <v>851</v>
      </c>
      <c r="N301">
        <v>419.6</v>
      </c>
      <c r="O301">
        <v>1.25</v>
      </c>
      <c r="P301">
        <v>22</v>
      </c>
      <c r="Q301" s="9" t="s">
        <v>13</v>
      </c>
      <c r="R301" s="9" t="s">
        <v>13</v>
      </c>
      <c r="S301" s="9"/>
      <c r="T301" s="9" t="s">
        <v>13</v>
      </c>
    </row>
    <row r="302" spans="1:19" ht="12.75">
      <c r="A302">
        <v>6</v>
      </c>
      <c r="B302" t="s">
        <v>748</v>
      </c>
      <c r="C302" t="s">
        <v>749</v>
      </c>
      <c r="D302">
        <v>1403</v>
      </c>
      <c r="E302">
        <v>4.18</v>
      </c>
      <c r="F302">
        <v>8</v>
      </c>
      <c r="K302">
        <v>6</v>
      </c>
      <c r="L302" t="s">
        <v>852</v>
      </c>
      <c r="M302" t="s">
        <v>853</v>
      </c>
      <c r="N302">
        <v>347.47</v>
      </c>
      <c r="O302">
        <v>1.03</v>
      </c>
      <c r="P302">
        <v>22</v>
      </c>
      <c r="Q302" s="9" t="s">
        <v>13</v>
      </c>
      <c r="R302" s="9" t="s">
        <v>13</v>
      </c>
      <c r="S302" s="9"/>
    </row>
    <row r="303" spans="1:16" ht="12.75">
      <c r="A303">
        <v>6</v>
      </c>
      <c r="B303" t="s">
        <v>750</v>
      </c>
      <c r="C303" t="s">
        <v>751</v>
      </c>
      <c r="D303">
        <v>176.25</v>
      </c>
      <c r="E303">
        <v>0.52</v>
      </c>
      <c r="F303">
        <v>22</v>
      </c>
      <c r="K303">
        <v>6</v>
      </c>
      <c r="L303" t="s">
        <v>854</v>
      </c>
      <c r="M303" t="s">
        <v>855</v>
      </c>
      <c r="N303">
        <v>990.53</v>
      </c>
      <c r="O303">
        <v>2.95</v>
      </c>
      <c r="P303">
        <v>22</v>
      </c>
    </row>
    <row r="304" spans="1:16" ht="12.75">
      <c r="A304">
        <v>6</v>
      </c>
      <c r="B304" t="s">
        <v>752</v>
      </c>
      <c r="C304" t="s">
        <v>753</v>
      </c>
      <c r="D304">
        <v>760</v>
      </c>
      <c r="E304">
        <v>2.26</v>
      </c>
      <c r="F304">
        <v>22</v>
      </c>
      <c r="K304">
        <v>6</v>
      </c>
      <c r="L304" t="s">
        <v>856</v>
      </c>
      <c r="M304" t="s">
        <v>857</v>
      </c>
      <c r="N304">
        <v>146.04</v>
      </c>
      <c r="O304">
        <v>0.43</v>
      </c>
      <c r="P304">
        <v>22</v>
      </c>
    </row>
    <row r="305" spans="1:16" ht="12.75">
      <c r="A305">
        <v>6</v>
      </c>
      <c r="B305" t="s">
        <v>754</v>
      </c>
      <c r="C305" t="s">
        <v>755</v>
      </c>
      <c r="D305">
        <v>1823</v>
      </c>
      <c r="E305">
        <v>5.43</v>
      </c>
      <c r="F305">
        <v>22</v>
      </c>
      <c r="K305">
        <v>6</v>
      </c>
      <c r="L305" t="s">
        <v>858</v>
      </c>
      <c r="M305" t="s">
        <v>859</v>
      </c>
      <c r="N305">
        <v>154.18</v>
      </c>
      <c r="O305">
        <v>0.46</v>
      </c>
      <c r="P305">
        <v>22</v>
      </c>
    </row>
    <row r="306" spans="1:16" ht="12.75">
      <c r="A306">
        <v>6</v>
      </c>
      <c r="B306" t="s">
        <v>756</v>
      </c>
      <c r="C306" t="s">
        <v>757</v>
      </c>
      <c r="D306">
        <v>109</v>
      </c>
      <c r="E306">
        <v>0.32</v>
      </c>
      <c r="F306">
        <v>22</v>
      </c>
      <c r="K306">
        <v>6</v>
      </c>
      <c r="L306" t="s">
        <v>860</v>
      </c>
      <c r="M306" t="s">
        <v>861</v>
      </c>
      <c r="N306">
        <v>380.18</v>
      </c>
      <c r="O306">
        <v>1.13</v>
      </c>
      <c r="P306">
        <v>22</v>
      </c>
    </row>
    <row r="307" spans="1:16" ht="12.75">
      <c r="A307">
        <v>6</v>
      </c>
      <c r="B307" t="s">
        <v>758</v>
      </c>
      <c r="C307" t="s">
        <v>759</v>
      </c>
      <c r="D307">
        <v>85.68</v>
      </c>
      <c r="E307">
        <v>0.26</v>
      </c>
      <c r="F307">
        <v>22</v>
      </c>
      <c r="K307">
        <v>6</v>
      </c>
      <c r="L307" t="s">
        <v>862</v>
      </c>
      <c r="M307" t="s">
        <v>863</v>
      </c>
      <c r="N307">
        <v>391</v>
      </c>
      <c r="O307">
        <v>1.16</v>
      </c>
      <c r="P307">
        <v>22</v>
      </c>
    </row>
    <row r="308" spans="1:16" ht="12.75">
      <c r="A308">
        <v>6</v>
      </c>
      <c r="B308" t="s">
        <v>760</v>
      </c>
      <c r="C308" t="s">
        <v>761</v>
      </c>
      <c r="D308">
        <v>113.32</v>
      </c>
      <c r="E308">
        <v>0.34</v>
      </c>
      <c r="F308">
        <v>22</v>
      </c>
      <c r="K308">
        <v>6</v>
      </c>
      <c r="L308" t="s">
        <v>864</v>
      </c>
      <c r="M308" t="s">
        <v>865</v>
      </c>
      <c r="N308">
        <v>174</v>
      </c>
      <c r="O308">
        <v>0.52</v>
      </c>
      <c r="P308">
        <v>22</v>
      </c>
    </row>
    <row r="309" spans="1:16" ht="12.75">
      <c r="A309">
        <v>6</v>
      </c>
      <c r="B309" t="s">
        <v>762</v>
      </c>
      <c r="C309" t="s">
        <v>763</v>
      </c>
      <c r="D309">
        <v>341.34</v>
      </c>
      <c r="E309">
        <v>1.02</v>
      </c>
      <c r="F309">
        <v>0</v>
      </c>
      <c r="K309">
        <v>6</v>
      </c>
      <c r="L309" t="s">
        <v>866</v>
      </c>
      <c r="M309" t="s">
        <v>867</v>
      </c>
      <c r="N309">
        <v>1184.5</v>
      </c>
      <c r="O309">
        <v>3.53</v>
      </c>
      <c r="P309">
        <v>22</v>
      </c>
    </row>
    <row r="310" spans="1:16" ht="12.75">
      <c r="A310">
        <v>6</v>
      </c>
      <c r="B310" t="s">
        <v>764</v>
      </c>
      <c r="C310" t="s">
        <v>765</v>
      </c>
      <c r="D310">
        <v>1166.24</v>
      </c>
      <c r="E310">
        <v>3.47</v>
      </c>
      <c r="F310">
        <v>0</v>
      </c>
      <c r="K310">
        <v>6</v>
      </c>
      <c r="L310" t="s">
        <v>868</v>
      </c>
      <c r="M310" t="s">
        <v>869</v>
      </c>
      <c r="N310">
        <v>531.5</v>
      </c>
      <c r="O310">
        <v>1.58</v>
      </c>
      <c r="P310">
        <v>22</v>
      </c>
    </row>
    <row r="311" spans="1:16" ht="12.75">
      <c r="A311">
        <v>6</v>
      </c>
      <c r="B311" t="s">
        <v>766</v>
      </c>
      <c r="C311" t="s">
        <v>767</v>
      </c>
      <c r="D311">
        <v>321.43</v>
      </c>
      <c r="E311">
        <v>0.96</v>
      </c>
      <c r="F311">
        <v>0</v>
      </c>
      <c r="K311">
        <v>6</v>
      </c>
      <c r="L311" t="s">
        <v>870</v>
      </c>
      <c r="M311" t="s">
        <v>871</v>
      </c>
      <c r="N311">
        <v>217</v>
      </c>
      <c r="O311">
        <v>0.65</v>
      </c>
      <c r="P311">
        <v>22</v>
      </c>
    </row>
    <row r="312" spans="1:16" ht="12.75">
      <c r="A312">
        <v>6</v>
      </c>
      <c r="B312" t="s">
        <v>768</v>
      </c>
      <c r="C312" t="s">
        <v>769</v>
      </c>
      <c r="D312">
        <v>1776</v>
      </c>
      <c r="E312">
        <v>5.29</v>
      </c>
      <c r="F312">
        <v>0</v>
      </c>
      <c r="K312">
        <v>6</v>
      </c>
      <c r="L312" t="s">
        <v>872</v>
      </c>
      <c r="M312" t="s">
        <v>873</v>
      </c>
      <c r="N312">
        <v>758.54</v>
      </c>
      <c r="O312">
        <v>2.26</v>
      </c>
      <c r="P312">
        <v>22</v>
      </c>
    </row>
    <row r="313" spans="1:16" ht="12.75">
      <c r="A313">
        <v>6</v>
      </c>
      <c r="B313" t="s">
        <v>770</v>
      </c>
      <c r="C313" t="s">
        <v>771</v>
      </c>
      <c r="D313">
        <v>505</v>
      </c>
      <c r="E313">
        <v>1.5</v>
      </c>
      <c r="F313">
        <v>0</v>
      </c>
      <c r="G313">
        <v>6881</v>
      </c>
      <c r="H313">
        <v>20.48</v>
      </c>
      <c r="I313">
        <v>0</v>
      </c>
      <c r="K313">
        <v>6</v>
      </c>
      <c r="L313" t="s">
        <v>874</v>
      </c>
      <c r="M313" t="s">
        <v>875</v>
      </c>
      <c r="N313">
        <v>150.45</v>
      </c>
      <c r="O313">
        <v>0.45</v>
      </c>
      <c r="P313">
        <v>22</v>
      </c>
    </row>
    <row r="314" spans="1:16" ht="12.75">
      <c r="A314" s="9">
        <v>6</v>
      </c>
      <c r="B314" s="9" t="s">
        <v>772</v>
      </c>
      <c r="C314" s="9" t="s">
        <v>773</v>
      </c>
      <c r="D314" s="9">
        <v>429</v>
      </c>
      <c r="E314" s="9">
        <v>1.28</v>
      </c>
      <c r="F314" s="9">
        <v>0</v>
      </c>
      <c r="G314" s="9">
        <v>4437.02</v>
      </c>
      <c r="H314" s="9">
        <v>13.21</v>
      </c>
      <c r="I314" s="9">
        <v>8</v>
      </c>
      <c r="K314">
        <v>6</v>
      </c>
      <c r="L314" t="s">
        <v>876</v>
      </c>
      <c r="M314" t="s">
        <v>877</v>
      </c>
      <c r="N314">
        <v>210.01</v>
      </c>
      <c r="O314">
        <v>0.63</v>
      </c>
      <c r="P314">
        <v>22</v>
      </c>
    </row>
    <row r="315" spans="1:16" ht="12.75">
      <c r="A315" s="19">
        <v>6</v>
      </c>
      <c r="B315" s="19" t="s">
        <v>774</v>
      </c>
      <c r="C315" s="19" t="s">
        <v>775</v>
      </c>
      <c r="D315" s="19">
        <v>2342</v>
      </c>
      <c r="E315" s="19">
        <v>6.97</v>
      </c>
      <c r="F315" s="19">
        <v>0</v>
      </c>
      <c r="G315" s="19">
        <v>3067.25</v>
      </c>
      <c r="H315" s="19">
        <v>9.13</v>
      </c>
      <c r="I315" s="19">
        <v>22</v>
      </c>
      <c r="K315">
        <v>6</v>
      </c>
      <c r="L315" t="s">
        <v>880</v>
      </c>
      <c r="M315" t="s">
        <v>881</v>
      </c>
      <c r="N315">
        <v>447.64</v>
      </c>
      <c r="O315">
        <v>1.33</v>
      </c>
      <c r="P315">
        <v>22</v>
      </c>
    </row>
    <row r="316" spans="1:16" ht="12.75">
      <c r="A316">
        <v>6</v>
      </c>
      <c r="B316" t="s">
        <v>776</v>
      </c>
      <c r="C316" t="s">
        <v>777</v>
      </c>
      <c r="D316">
        <v>8005.46</v>
      </c>
      <c r="E316">
        <v>23.83</v>
      </c>
      <c r="F316">
        <v>22</v>
      </c>
      <c r="K316">
        <v>6</v>
      </c>
      <c r="L316" t="s">
        <v>882</v>
      </c>
      <c r="M316" t="s">
        <v>883</v>
      </c>
      <c r="N316">
        <v>110.36</v>
      </c>
      <c r="O316">
        <v>0.33</v>
      </c>
      <c r="P316">
        <v>22</v>
      </c>
    </row>
    <row r="317" spans="1:16" ht="12.75">
      <c r="A317">
        <v>6</v>
      </c>
      <c r="B317" t="s">
        <v>778</v>
      </c>
      <c r="C317" t="s">
        <v>779</v>
      </c>
      <c r="D317">
        <v>9428.54</v>
      </c>
      <c r="E317">
        <v>28.07</v>
      </c>
      <c r="F317">
        <v>22</v>
      </c>
      <c r="K317">
        <v>6</v>
      </c>
      <c r="L317" t="s">
        <v>884</v>
      </c>
      <c r="M317" t="s">
        <v>885</v>
      </c>
      <c r="N317">
        <v>1004.67</v>
      </c>
      <c r="O317">
        <v>2.99</v>
      </c>
      <c r="P317">
        <v>22</v>
      </c>
    </row>
    <row r="318" spans="1:16" ht="12.75">
      <c r="A318">
        <v>6</v>
      </c>
      <c r="B318" t="s">
        <v>780</v>
      </c>
      <c r="C318" t="s">
        <v>781</v>
      </c>
      <c r="D318">
        <v>530</v>
      </c>
      <c r="E318">
        <v>1.58</v>
      </c>
      <c r="F318">
        <v>22</v>
      </c>
      <c r="K318">
        <v>6</v>
      </c>
      <c r="L318" t="s">
        <v>886</v>
      </c>
      <c r="M318" t="s">
        <v>887</v>
      </c>
      <c r="N318">
        <v>148.28</v>
      </c>
      <c r="O318">
        <v>0.44</v>
      </c>
      <c r="P318">
        <v>22</v>
      </c>
    </row>
    <row r="319" spans="1:16" ht="12.75">
      <c r="A319">
        <v>6</v>
      </c>
      <c r="B319" t="s">
        <v>782</v>
      </c>
      <c r="C319" t="s">
        <v>783</v>
      </c>
      <c r="D319">
        <v>711</v>
      </c>
      <c r="E319">
        <v>2.12</v>
      </c>
      <c r="F319">
        <v>22</v>
      </c>
      <c r="K319">
        <v>6</v>
      </c>
      <c r="L319" t="s">
        <v>888</v>
      </c>
      <c r="M319" t="s">
        <v>889</v>
      </c>
      <c r="N319">
        <v>469.05</v>
      </c>
      <c r="O319">
        <v>1.4</v>
      </c>
      <c r="P319">
        <v>22</v>
      </c>
    </row>
    <row r="320" spans="1:16" ht="12.75">
      <c r="A320">
        <v>6</v>
      </c>
      <c r="B320" t="s">
        <v>784</v>
      </c>
      <c r="C320" t="s">
        <v>785</v>
      </c>
      <c r="D320">
        <v>538</v>
      </c>
      <c r="E320">
        <v>1.6</v>
      </c>
      <c r="F320">
        <v>22</v>
      </c>
      <c r="K320">
        <v>6</v>
      </c>
      <c r="L320" t="s">
        <v>890</v>
      </c>
      <c r="M320" t="s">
        <v>891</v>
      </c>
      <c r="N320">
        <v>149.56</v>
      </c>
      <c r="O320">
        <v>0.45</v>
      </c>
      <c r="P320">
        <v>22</v>
      </c>
    </row>
    <row r="321" spans="1:17" ht="12.75">
      <c r="A321">
        <v>6</v>
      </c>
      <c r="B321" t="s">
        <v>786</v>
      </c>
      <c r="C321" t="s">
        <v>787</v>
      </c>
      <c r="D321">
        <v>538</v>
      </c>
      <c r="E321">
        <v>1.6</v>
      </c>
      <c r="F321">
        <v>22</v>
      </c>
      <c r="K321">
        <v>6</v>
      </c>
      <c r="L321" t="s">
        <v>892</v>
      </c>
      <c r="M321" t="s">
        <v>893</v>
      </c>
      <c r="N321">
        <v>274.19</v>
      </c>
      <c r="O321">
        <v>0.82</v>
      </c>
      <c r="P321">
        <v>22</v>
      </c>
      <c r="Q321" t="s">
        <v>13</v>
      </c>
    </row>
    <row r="322" spans="1:16" ht="12.75">
      <c r="A322">
        <v>6</v>
      </c>
      <c r="B322" t="s">
        <v>788</v>
      </c>
      <c r="C322" t="s">
        <v>789</v>
      </c>
      <c r="D322">
        <v>2200.79</v>
      </c>
      <c r="E322">
        <v>6.55</v>
      </c>
      <c r="F322">
        <v>22</v>
      </c>
      <c r="K322">
        <v>6</v>
      </c>
      <c r="L322" t="s">
        <v>894</v>
      </c>
      <c r="M322" t="s">
        <v>895</v>
      </c>
      <c r="N322">
        <v>265.88</v>
      </c>
      <c r="O322">
        <v>0.79</v>
      </c>
      <c r="P322">
        <v>22</v>
      </c>
    </row>
    <row r="323" spans="1:16" ht="12.75">
      <c r="A323">
        <v>6</v>
      </c>
      <c r="B323" t="s">
        <v>790</v>
      </c>
      <c r="C323" t="s">
        <v>791</v>
      </c>
      <c r="D323">
        <v>123.61</v>
      </c>
      <c r="E323">
        <v>0.37</v>
      </c>
      <c r="F323">
        <v>22</v>
      </c>
      <c r="K323">
        <v>6</v>
      </c>
      <c r="L323" t="s">
        <v>896</v>
      </c>
      <c r="M323" t="s">
        <v>897</v>
      </c>
      <c r="N323">
        <v>274.19</v>
      </c>
      <c r="O323">
        <v>0.82</v>
      </c>
      <c r="P323">
        <v>22</v>
      </c>
    </row>
    <row r="324" spans="1:18" ht="12.75">
      <c r="A324">
        <v>6</v>
      </c>
      <c r="B324" t="s">
        <v>792</v>
      </c>
      <c r="C324" t="s">
        <v>793</v>
      </c>
      <c r="D324">
        <v>123.61</v>
      </c>
      <c r="E324">
        <v>0.37</v>
      </c>
      <c r="F324">
        <v>22</v>
      </c>
      <c r="K324">
        <v>6</v>
      </c>
      <c r="L324" t="s">
        <v>898</v>
      </c>
      <c r="M324" t="s">
        <v>899</v>
      </c>
      <c r="N324">
        <v>274.19</v>
      </c>
      <c r="O324">
        <v>0.82</v>
      </c>
      <c r="P324">
        <v>22</v>
      </c>
      <c r="Q324" t="s">
        <v>13</v>
      </c>
      <c r="R324" t="s">
        <v>13</v>
      </c>
    </row>
    <row r="325" spans="1:18" ht="12.75">
      <c r="A325">
        <v>6</v>
      </c>
      <c r="B325" t="s">
        <v>794</v>
      </c>
      <c r="C325" t="s">
        <v>795</v>
      </c>
      <c r="D325">
        <v>13093.59</v>
      </c>
      <c r="E325">
        <v>38.98</v>
      </c>
      <c r="F325">
        <v>22</v>
      </c>
      <c r="K325">
        <v>6</v>
      </c>
      <c r="L325" t="s">
        <v>900</v>
      </c>
      <c r="M325" t="s">
        <v>901</v>
      </c>
      <c r="N325">
        <v>263.33</v>
      </c>
      <c r="O325">
        <v>0.78</v>
      </c>
      <c r="P325">
        <v>22</v>
      </c>
      <c r="Q325" t="s">
        <v>13</v>
      </c>
      <c r="R325" t="s">
        <v>13</v>
      </c>
    </row>
    <row r="326" spans="1:19" ht="12.75">
      <c r="A326">
        <v>6</v>
      </c>
      <c r="B326" t="s">
        <v>796</v>
      </c>
      <c r="C326" t="s">
        <v>797</v>
      </c>
      <c r="D326">
        <v>1050.75</v>
      </c>
      <c r="E326">
        <v>3.13</v>
      </c>
      <c r="F326">
        <v>22</v>
      </c>
      <c r="K326">
        <v>6</v>
      </c>
      <c r="L326" t="s">
        <v>902</v>
      </c>
      <c r="M326" t="s">
        <v>903</v>
      </c>
      <c r="N326">
        <v>173.33</v>
      </c>
      <c r="O326">
        <v>0.52</v>
      </c>
      <c r="P326">
        <v>22</v>
      </c>
      <c r="Q326" s="9" t="s">
        <v>13</v>
      </c>
      <c r="R326" s="9" t="s">
        <v>13</v>
      </c>
      <c r="S326" s="9"/>
    </row>
    <row r="327" spans="1:19" ht="12.75">
      <c r="A327">
        <v>6</v>
      </c>
      <c r="B327" t="s">
        <v>798</v>
      </c>
      <c r="C327" t="s">
        <v>799</v>
      </c>
      <c r="D327">
        <v>280.66</v>
      </c>
      <c r="E327">
        <v>0.84</v>
      </c>
      <c r="F327">
        <v>22</v>
      </c>
      <c r="K327">
        <v>6</v>
      </c>
      <c r="L327" t="s">
        <v>904</v>
      </c>
      <c r="M327" t="s">
        <v>905</v>
      </c>
      <c r="N327">
        <v>200</v>
      </c>
      <c r="O327">
        <v>0.6</v>
      </c>
      <c r="P327">
        <v>22</v>
      </c>
      <c r="Q327" s="9"/>
      <c r="R327" s="9"/>
      <c r="S327" s="9"/>
    </row>
    <row r="328" spans="1:19" ht="12.75">
      <c r="A328">
        <v>6</v>
      </c>
      <c r="B328" t="s">
        <v>800</v>
      </c>
      <c r="C328" t="s">
        <v>801</v>
      </c>
      <c r="D328">
        <v>1723.75</v>
      </c>
      <c r="E328">
        <v>5.13</v>
      </c>
      <c r="F328" s="1">
        <v>22</v>
      </c>
      <c r="K328">
        <v>6</v>
      </c>
      <c r="L328" t="s">
        <v>906</v>
      </c>
      <c r="M328" t="s">
        <v>907</v>
      </c>
      <c r="N328">
        <v>290</v>
      </c>
      <c r="O328">
        <v>0.86</v>
      </c>
      <c r="P328">
        <v>22</v>
      </c>
      <c r="Q328" s="9"/>
      <c r="R328" s="9"/>
      <c r="S328" s="9"/>
    </row>
    <row r="329" spans="1:19" ht="12.75">
      <c r="A329">
        <v>6</v>
      </c>
      <c r="B329" t="s">
        <v>802</v>
      </c>
      <c r="C329" t="s">
        <v>803</v>
      </c>
      <c r="D329">
        <v>363.46</v>
      </c>
      <c r="E329">
        <v>1.08</v>
      </c>
      <c r="F329" s="1">
        <v>22</v>
      </c>
      <c r="K329">
        <v>6</v>
      </c>
      <c r="L329" t="s">
        <v>908</v>
      </c>
      <c r="M329" t="s">
        <v>909</v>
      </c>
      <c r="N329">
        <v>313.33</v>
      </c>
      <c r="O329">
        <v>0.93</v>
      </c>
      <c r="P329">
        <v>22</v>
      </c>
      <c r="Q329" s="9"/>
      <c r="R329" s="9"/>
      <c r="S329" s="9"/>
    </row>
    <row r="330" spans="1:27" ht="12.75">
      <c r="A330">
        <v>6</v>
      </c>
      <c r="B330" t="s">
        <v>804</v>
      </c>
      <c r="C330" t="s">
        <v>805</v>
      </c>
      <c r="D330">
        <v>406.22</v>
      </c>
      <c r="E330">
        <v>1.21</v>
      </c>
      <c r="F330" s="1">
        <v>22</v>
      </c>
      <c r="K330">
        <v>6</v>
      </c>
      <c r="L330" t="s">
        <v>910</v>
      </c>
      <c r="M330" t="s">
        <v>911</v>
      </c>
      <c r="N330">
        <v>356.67</v>
      </c>
      <c r="O330">
        <v>1.06</v>
      </c>
      <c r="P330">
        <v>22</v>
      </c>
      <c r="AA330">
        <v>2005</v>
      </c>
    </row>
    <row r="331" spans="1:27" ht="12.75">
      <c r="A331">
        <v>6</v>
      </c>
      <c r="B331" t="s">
        <v>806</v>
      </c>
      <c r="C331" t="s">
        <v>807</v>
      </c>
      <c r="D331">
        <v>574.58</v>
      </c>
      <c r="E331">
        <v>1.71</v>
      </c>
      <c r="F331" s="1">
        <v>22</v>
      </c>
      <c r="K331">
        <v>6</v>
      </c>
      <c r="L331" t="s">
        <v>912</v>
      </c>
      <c r="M331" t="s">
        <v>913</v>
      </c>
      <c r="N331">
        <v>133.33</v>
      </c>
      <c r="O331">
        <v>0.4</v>
      </c>
      <c r="P331">
        <v>22</v>
      </c>
      <c r="T331">
        <v>6</v>
      </c>
      <c r="U331" t="s">
        <v>568</v>
      </c>
      <c r="V331" t="s">
        <v>569</v>
      </c>
      <c r="W331">
        <v>229</v>
      </c>
      <c r="X331">
        <v>0.68</v>
      </c>
      <c r="Y331" s="1">
        <v>22</v>
      </c>
      <c r="AA331">
        <v>47411572</v>
      </c>
    </row>
    <row r="332" spans="1:25" ht="12.75">
      <c r="A332">
        <v>6</v>
      </c>
      <c r="B332" t="s">
        <v>808</v>
      </c>
      <c r="C332" t="s">
        <v>809</v>
      </c>
      <c r="D332">
        <v>257.14</v>
      </c>
      <c r="E332">
        <v>0.77</v>
      </c>
      <c r="F332">
        <v>0</v>
      </c>
      <c r="K332">
        <v>6</v>
      </c>
      <c r="L332" t="s">
        <v>914</v>
      </c>
      <c r="M332" t="s">
        <v>915</v>
      </c>
      <c r="N332">
        <v>91.87</v>
      </c>
      <c r="O332">
        <v>0.27</v>
      </c>
      <c r="P332">
        <v>22</v>
      </c>
      <c r="T332" s="9">
        <v>6</v>
      </c>
      <c r="U332" s="19" t="s">
        <v>588</v>
      </c>
      <c r="V332" s="19" t="s">
        <v>589</v>
      </c>
      <c r="W332" s="19">
        <v>102</v>
      </c>
      <c r="X332" s="19">
        <v>0.3</v>
      </c>
      <c r="Y332" s="143">
        <v>22</v>
      </c>
    </row>
    <row r="333" spans="1:27" ht="12.75">
      <c r="A333">
        <v>6</v>
      </c>
      <c r="B333" t="s">
        <v>810</v>
      </c>
      <c r="C333" t="s">
        <v>811</v>
      </c>
      <c r="D333">
        <v>1296.52</v>
      </c>
      <c r="E333">
        <v>3.86</v>
      </c>
      <c r="F333">
        <v>0</v>
      </c>
      <c r="K333">
        <v>6</v>
      </c>
      <c r="L333" t="s">
        <v>916</v>
      </c>
      <c r="M333" t="s">
        <v>917</v>
      </c>
      <c r="N333">
        <v>157.49</v>
      </c>
      <c r="O333">
        <v>0.47</v>
      </c>
      <c r="P333">
        <v>22</v>
      </c>
      <c r="T333">
        <v>6</v>
      </c>
      <c r="U333" t="s">
        <v>596</v>
      </c>
      <c r="V333" t="s">
        <v>597</v>
      </c>
      <c r="W333">
        <v>570</v>
      </c>
      <c r="X333">
        <v>1.7</v>
      </c>
      <c r="Y333" s="1">
        <v>22</v>
      </c>
      <c r="AA333" s="217">
        <f>1421586337*0.7</f>
        <v>995110435.9</v>
      </c>
    </row>
    <row r="334" spans="1:25" ht="12.75">
      <c r="A334">
        <v>6</v>
      </c>
      <c r="B334" t="s">
        <v>812</v>
      </c>
      <c r="C334" t="s">
        <v>813</v>
      </c>
      <c r="D334">
        <v>715.75</v>
      </c>
      <c r="E334">
        <v>2.13</v>
      </c>
      <c r="F334">
        <v>22</v>
      </c>
      <c r="K334">
        <v>6</v>
      </c>
      <c r="L334" t="s">
        <v>918</v>
      </c>
      <c r="M334" t="s">
        <v>919</v>
      </c>
      <c r="N334">
        <v>782.2</v>
      </c>
      <c r="O334">
        <v>2.33</v>
      </c>
      <c r="P334">
        <v>22</v>
      </c>
      <c r="T334">
        <v>6</v>
      </c>
      <c r="U334" t="s">
        <v>598</v>
      </c>
      <c r="V334" t="s">
        <v>599</v>
      </c>
      <c r="W334">
        <v>570</v>
      </c>
      <c r="X334">
        <v>1.7</v>
      </c>
      <c r="Y334" s="1">
        <v>22</v>
      </c>
    </row>
    <row r="335" spans="1:25" ht="12.75">
      <c r="A335">
        <v>6</v>
      </c>
      <c r="B335" t="s">
        <v>814</v>
      </c>
      <c r="C335" t="s">
        <v>815</v>
      </c>
      <c r="D335">
        <v>124.11</v>
      </c>
      <c r="E335">
        <v>0.37</v>
      </c>
      <c r="F335">
        <v>0</v>
      </c>
      <c r="K335">
        <v>6</v>
      </c>
      <c r="L335" t="s">
        <v>920</v>
      </c>
      <c r="M335" t="s">
        <v>921</v>
      </c>
      <c r="N335">
        <v>165.36</v>
      </c>
      <c r="O335">
        <v>0.49</v>
      </c>
      <c r="P335">
        <v>22</v>
      </c>
      <c r="T335">
        <v>6</v>
      </c>
      <c r="U335" t="s">
        <v>600</v>
      </c>
      <c r="V335" t="s">
        <v>601</v>
      </c>
      <c r="W335">
        <v>1240.42</v>
      </c>
      <c r="X335">
        <v>3.69</v>
      </c>
      <c r="Y335" s="1">
        <v>22</v>
      </c>
    </row>
    <row r="336" spans="1:25" ht="12.75">
      <c r="A336">
        <v>6</v>
      </c>
      <c r="B336" t="s">
        <v>816</v>
      </c>
      <c r="C336" t="s">
        <v>817</v>
      </c>
      <c r="D336">
        <v>713</v>
      </c>
      <c r="E336">
        <v>2.12</v>
      </c>
      <c r="F336" s="1">
        <v>22</v>
      </c>
      <c r="K336">
        <v>6</v>
      </c>
      <c r="L336" t="s">
        <v>922</v>
      </c>
      <c r="M336" t="s">
        <v>923</v>
      </c>
      <c r="N336">
        <v>291.36</v>
      </c>
      <c r="O336">
        <v>0.87</v>
      </c>
      <c r="P336">
        <v>22</v>
      </c>
      <c r="T336">
        <v>6</v>
      </c>
      <c r="U336" t="s">
        <v>602</v>
      </c>
      <c r="V336" t="s">
        <v>603</v>
      </c>
      <c r="W336">
        <v>2384.93</v>
      </c>
      <c r="X336">
        <v>7.1</v>
      </c>
      <c r="Y336" s="1">
        <v>22</v>
      </c>
    </row>
    <row r="337" spans="1:26" ht="12.75">
      <c r="A337">
        <v>6</v>
      </c>
      <c r="B337" t="s">
        <v>818</v>
      </c>
      <c r="C337" t="s">
        <v>819</v>
      </c>
      <c r="D337">
        <v>300</v>
      </c>
      <c r="E337">
        <v>0.89</v>
      </c>
      <c r="F337" s="1">
        <v>22</v>
      </c>
      <c r="K337">
        <v>6</v>
      </c>
      <c r="L337" t="s">
        <v>924</v>
      </c>
      <c r="M337" t="s">
        <v>925</v>
      </c>
      <c r="N337">
        <v>165.36</v>
      </c>
      <c r="O337">
        <v>0.49</v>
      </c>
      <c r="P337">
        <v>22</v>
      </c>
      <c r="T337">
        <v>6</v>
      </c>
      <c r="U337" t="s">
        <v>604</v>
      </c>
      <c r="V337" t="s">
        <v>605</v>
      </c>
      <c r="W337">
        <v>2384.93</v>
      </c>
      <c r="X337">
        <v>7.1</v>
      </c>
      <c r="Y337" s="1">
        <v>22</v>
      </c>
      <c r="Z337">
        <f>SUM(X333:X337)</f>
        <v>21.29</v>
      </c>
    </row>
    <row r="338" spans="1:27" ht="12.75">
      <c r="A338">
        <v>6</v>
      </c>
      <c r="B338" t="s">
        <v>820</v>
      </c>
      <c r="C338" t="s">
        <v>821</v>
      </c>
      <c r="D338">
        <v>121.14</v>
      </c>
      <c r="E338">
        <v>0.36</v>
      </c>
      <c r="F338">
        <v>8</v>
      </c>
      <c r="K338">
        <v>6</v>
      </c>
      <c r="L338" t="s">
        <v>926</v>
      </c>
      <c r="M338" t="s">
        <v>927</v>
      </c>
      <c r="N338">
        <v>291.36</v>
      </c>
      <c r="O338">
        <v>0.87</v>
      </c>
      <c r="P338">
        <v>22</v>
      </c>
      <c r="T338">
        <v>6</v>
      </c>
      <c r="U338" t="s">
        <v>608</v>
      </c>
      <c r="V338" t="s">
        <v>609</v>
      </c>
      <c r="W338">
        <v>1342.37</v>
      </c>
      <c r="X338">
        <v>4</v>
      </c>
      <c r="Y338" s="1">
        <v>22</v>
      </c>
      <c r="AA338">
        <v>289602794</v>
      </c>
    </row>
    <row r="339" spans="1:27" ht="12.75">
      <c r="A339">
        <v>6</v>
      </c>
      <c r="B339" t="s">
        <v>822</v>
      </c>
      <c r="C339" t="s">
        <v>823</v>
      </c>
      <c r="D339">
        <v>1534.36</v>
      </c>
      <c r="E339">
        <v>4.57</v>
      </c>
      <c r="F339">
        <v>8</v>
      </c>
      <c r="K339">
        <v>6</v>
      </c>
      <c r="L339" t="s">
        <v>928</v>
      </c>
      <c r="M339" t="s">
        <v>929</v>
      </c>
      <c r="N339">
        <v>223</v>
      </c>
      <c r="O339">
        <v>0.66</v>
      </c>
      <c r="P339">
        <v>22</v>
      </c>
      <c r="T339">
        <v>6</v>
      </c>
      <c r="U339" t="s">
        <v>624</v>
      </c>
      <c r="V339" t="s">
        <v>625</v>
      </c>
      <c r="W339">
        <v>1064.72</v>
      </c>
      <c r="X339">
        <v>3.17</v>
      </c>
      <c r="Y339" s="1">
        <v>22</v>
      </c>
      <c r="AA339">
        <v>219556366</v>
      </c>
    </row>
    <row r="340" spans="1:27" ht="12.75">
      <c r="A340">
        <v>6</v>
      </c>
      <c r="B340" t="s">
        <v>824</v>
      </c>
      <c r="C340" t="s">
        <v>825</v>
      </c>
      <c r="D340">
        <v>2703.35</v>
      </c>
      <c r="E340">
        <v>8.05</v>
      </c>
      <c r="F340">
        <v>8</v>
      </c>
      <c r="G340" t="s">
        <v>13</v>
      </c>
      <c r="K340">
        <v>6</v>
      </c>
      <c r="L340" t="s">
        <v>930</v>
      </c>
      <c r="M340" t="s">
        <v>931</v>
      </c>
      <c r="N340">
        <v>223</v>
      </c>
      <c r="O340">
        <v>0.66</v>
      </c>
      <c r="P340">
        <v>22</v>
      </c>
      <c r="T340">
        <v>6</v>
      </c>
      <c r="U340" t="s">
        <v>628</v>
      </c>
      <c r="V340" t="s">
        <v>629</v>
      </c>
      <c r="W340">
        <v>365</v>
      </c>
      <c r="X340">
        <v>1.09</v>
      </c>
      <c r="Y340" s="1">
        <v>22</v>
      </c>
      <c r="AA340">
        <v>109861434</v>
      </c>
    </row>
    <row r="341" spans="1:27" ht="12.75">
      <c r="A341">
        <v>6</v>
      </c>
      <c r="B341" t="s">
        <v>826</v>
      </c>
      <c r="C341" t="s">
        <v>827</v>
      </c>
      <c r="D341">
        <v>549.32</v>
      </c>
      <c r="E341">
        <v>1.64</v>
      </c>
      <c r="F341">
        <v>8</v>
      </c>
      <c r="K341">
        <v>6</v>
      </c>
      <c r="L341" t="s">
        <v>932</v>
      </c>
      <c r="M341" t="s">
        <v>933</v>
      </c>
      <c r="N341">
        <v>330.77</v>
      </c>
      <c r="O341">
        <v>0.98</v>
      </c>
      <c r="P341">
        <v>22</v>
      </c>
      <c r="T341" s="19">
        <v>6</v>
      </c>
      <c r="U341" s="19" t="s">
        <v>634</v>
      </c>
      <c r="V341" s="19" t="s">
        <v>635</v>
      </c>
      <c r="W341" s="19">
        <v>514</v>
      </c>
      <c r="X341" s="19">
        <v>1.53</v>
      </c>
      <c r="Y341" s="143">
        <v>22</v>
      </c>
      <c r="AA341">
        <v>68179120</v>
      </c>
    </row>
    <row r="342" spans="1:27" ht="12.75">
      <c r="A342">
        <v>6</v>
      </c>
      <c r="B342" t="s">
        <v>828</v>
      </c>
      <c r="C342" t="s">
        <v>829</v>
      </c>
      <c r="D342">
        <v>994.83</v>
      </c>
      <c r="E342">
        <v>2.96</v>
      </c>
      <c r="F342">
        <v>8</v>
      </c>
      <c r="K342">
        <v>6</v>
      </c>
      <c r="L342" t="s">
        <v>934</v>
      </c>
      <c r="M342" t="s">
        <v>935</v>
      </c>
      <c r="N342">
        <v>330.77</v>
      </c>
      <c r="O342">
        <v>0.98</v>
      </c>
      <c r="P342">
        <v>22</v>
      </c>
      <c r="T342">
        <v>6</v>
      </c>
      <c r="U342" t="s">
        <v>666</v>
      </c>
      <c r="V342" t="s">
        <v>667</v>
      </c>
      <c r="W342">
        <v>440</v>
      </c>
      <c r="X342">
        <v>1.31</v>
      </c>
      <c r="Y342" s="1">
        <v>22</v>
      </c>
      <c r="AA342">
        <v>106535461</v>
      </c>
    </row>
    <row r="343" spans="1:27" ht="12.75">
      <c r="A343">
        <v>6</v>
      </c>
      <c r="B343" t="s">
        <v>830</v>
      </c>
      <c r="C343" t="s">
        <v>831</v>
      </c>
      <c r="D343">
        <v>471.94</v>
      </c>
      <c r="E343">
        <v>1.4</v>
      </c>
      <c r="F343">
        <v>8</v>
      </c>
      <c r="G343">
        <v>4510.83</v>
      </c>
      <c r="H343">
        <v>13.43</v>
      </c>
      <c r="I343">
        <v>0</v>
      </c>
      <c r="K343">
        <v>6</v>
      </c>
      <c r="L343" t="s">
        <v>936</v>
      </c>
      <c r="M343" t="s">
        <v>937</v>
      </c>
      <c r="N343">
        <v>198.46</v>
      </c>
      <c r="O343">
        <v>0.59</v>
      </c>
      <c r="P343">
        <v>22</v>
      </c>
      <c r="T343">
        <v>6</v>
      </c>
      <c r="U343" t="s">
        <v>698</v>
      </c>
      <c r="V343" t="s">
        <v>699</v>
      </c>
      <c r="W343">
        <v>303</v>
      </c>
      <c r="X343">
        <v>0.9</v>
      </c>
      <c r="Y343" s="1">
        <v>22</v>
      </c>
      <c r="AA343">
        <v>65163769</v>
      </c>
    </row>
    <row r="344" spans="1:27" ht="12.75">
      <c r="A344">
        <v>6</v>
      </c>
      <c r="B344" t="s">
        <v>832</v>
      </c>
      <c r="C344" t="s">
        <v>833</v>
      </c>
      <c r="D344">
        <v>1637.56</v>
      </c>
      <c r="E344">
        <v>4.87</v>
      </c>
      <c r="F344">
        <v>0</v>
      </c>
      <c r="G344">
        <v>6374.94</v>
      </c>
      <c r="H344">
        <v>18.98</v>
      </c>
      <c r="I344">
        <v>8</v>
      </c>
      <c r="K344">
        <v>6</v>
      </c>
      <c r="L344" t="s">
        <v>966</v>
      </c>
      <c r="M344" t="s">
        <v>967</v>
      </c>
      <c r="N344">
        <v>118.27</v>
      </c>
      <c r="O344">
        <v>0.35</v>
      </c>
      <c r="P344">
        <v>22</v>
      </c>
      <c r="T344" s="19">
        <v>6</v>
      </c>
      <c r="U344" s="19" t="s">
        <v>742</v>
      </c>
      <c r="V344" s="19" t="s">
        <v>743</v>
      </c>
      <c r="W344" s="19">
        <v>496</v>
      </c>
      <c r="X344" s="19">
        <v>1.48</v>
      </c>
      <c r="Y344" s="143">
        <v>22</v>
      </c>
      <c r="AA344">
        <v>173592173</v>
      </c>
    </row>
    <row r="345" spans="1:27" ht="12.75">
      <c r="A345" s="19">
        <v>6</v>
      </c>
      <c r="B345" s="19" t="s">
        <v>834</v>
      </c>
      <c r="C345" s="19" t="s">
        <v>835</v>
      </c>
      <c r="D345" s="19">
        <v>1195.5</v>
      </c>
      <c r="E345" s="19">
        <v>3.56</v>
      </c>
      <c r="F345" s="19">
        <v>0</v>
      </c>
      <c r="G345" s="19">
        <v>41420.75</v>
      </c>
      <c r="H345" s="19">
        <v>123.31</v>
      </c>
      <c r="I345" s="19">
        <v>22</v>
      </c>
      <c r="K345">
        <v>6</v>
      </c>
      <c r="L345" t="s">
        <v>982</v>
      </c>
      <c r="M345" t="s">
        <v>983</v>
      </c>
      <c r="N345">
        <v>466.66</v>
      </c>
      <c r="O345">
        <v>1.39</v>
      </c>
      <c r="P345">
        <v>22</v>
      </c>
      <c r="T345">
        <v>6</v>
      </c>
      <c r="U345" t="s">
        <v>800</v>
      </c>
      <c r="V345" t="s">
        <v>801</v>
      </c>
      <c r="W345">
        <v>1723.75</v>
      </c>
      <c r="X345">
        <v>5.13</v>
      </c>
      <c r="Y345" s="1">
        <v>22</v>
      </c>
      <c r="AA345">
        <v>357746674</v>
      </c>
    </row>
    <row r="346" spans="1:27" ht="12.75">
      <c r="A346">
        <v>6</v>
      </c>
      <c r="B346" t="s">
        <v>836</v>
      </c>
      <c r="C346" t="s">
        <v>837</v>
      </c>
      <c r="D346">
        <v>385.84</v>
      </c>
      <c r="E346">
        <v>1.15</v>
      </c>
      <c r="F346">
        <v>22</v>
      </c>
      <c r="G346" t="s">
        <v>13</v>
      </c>
      <c r="K346">
        <v>6</v>
      </c>
      <c r="L346" t="s">
        <v>986</v>
      </c>
      <c r="M346" t="s">
        <v>987</v>
      </c>
      <c r="N346">
        <v>362.32</v>
      </c>
      <c r="O346">
        <v>1.08</v>
      </c>
      <c r="P346">
        <v>22</v>
      </c>
      <c r="T346">
        <v>6</v>
      </c>
      <c r="U346" t="s">
        <v>802</v>
      </c>
      <c r="V346" t="s">
        <v>803</v>
      </c>
      <c r="W346">
        <v>363.46</v>
      </c>
      <c r="X346">
        <v>1.08</v>
      </c>
      <c r="Y346" s="1">
        <v>22</v>
      </c>
      <c r="AA346">
        <v>414924660</v>
      </c>
    </row>
    <row r="347" spans="1:25" ht="12.75">
      <c r="A347">
        <v>6</v>
      </c>
      <c r="B347" t="s">
        <v>838</v>
      </c>
      <c r="C347" t="s">
        <v>839</v>
      </c>
      <c r="D347">
        <v>58.16</v>
      </c>
      <c r="E347">
        <v>0.17</v>
      </c>
      <c r="F347">
        <v>22</v>
      </c>
      <c r="K347">
        <v>6</v>
      </c>
      <c r="L347" t="s">
        <v>988</v>
      </c>
      <c r="M347" t="s">
        <v>989</v>
      </c>
      <c r="N347">
        <v>132.34</v>
      </c>
      <c r="O347">
        <v>0.39</v>
      </c>
      <c r="P347">
        <v>22</v>
      </c>
      <c r="Q347" t="s">
        <v>13</v>
      </c>
      <c r="T347">
        <v>6</v>
      </c>
      <c r="U347" t="s">
        <v>804</v>
      </c>
      <c r="V347" t="s">
        <v>805</v>
      </c>
      <c r="W347">
        <v>406.22</v>
      </c>
      <c r="X347">
        <v>1.21</v>
      </c>
      <c r="Y347" s="1">
        <v>22</v>
      </c>
    </row>
    <row r="348" spans="1:25" ht="12.75">
      <c r="A348">
        <v>6</v>
      </c>
      <c r="B348" t="s">
        <v>840</v>
      </c>
      <c r="C348" t="s">
        <v>841</v>
      </c>
      <c r="D348">
        <v>1279</v>
      </c>
      <c r="E348">
        <v>3.81</v>
      </c>
      <c r="F348">
        <v>22</v>
      </c>
      <c r="K348">
        <v>6</v>
      </c>
      <c r="L348" t="s">
        <v>990</v>
      </c>
      <c r="M348" t="s">
        <v>991</v>
      </c>
      <c r="N348">
        <v>314.66</v>
      </c>
      <c r="O348">
        <v>0.94</v>
      </c>
      <c r="P348">
        <v>22</v>
      </c>
      <c r="T348">
        <v>6</v>
      </c>
      <c r="U348" t="s">
        <v>806</v>
      </c>
      <c r="V348" t="s">
        <v>807</v>
      </c>
      <c r="W348">
        <v>574.58</v>
      </c>
      <c r="X348">
        <v>1.71</v>
      </c>
      <c r="Y348" s="1">
        <v>22</v>
      </c>
    </row>
    <row r="349" spans="1:27" ht="12.75">
      <c r="A349">
        <v>6</v>
      </c>
      <c r="B349" t="s">
        <v>842</v>
      </c>
      <c r="C349" t="s">
        <v>843</v>
      </c>
      <c r="D349">
        <v>2879.9</v>
      </c>
      <c r="E349">
        <v>8.57</v>
      </c>
      <c r="F349" s="1">
        <v>22</v>
      </c>
      <c r="K349">
        <v>6</v>
      </c>
      <c r="L349" t="s">
        <v>992</v>
      </c>
      <c r="M349" t="s">
        <v>993</v>
      </c>
      <c r="N349">
        <v>186.26</v>
      </c>
      <c r="O349">
        <v>0.55</v>
      </c>
      <c r="P349">
        <v>22</v>
      </c>
      <c r="T349">
        <v>6</v>
      </c>
      <c r="U349" t="s">
        <v>812</v>
      </c>
      <c r="V349" t="s">
        <v>813</v>
      </c>
      <c r="W349">
        <v>715.75</v>
      </c>
      <c r="X349">
        <v>2.13</v>
      </c>
      <c r="Y349" s="1">
        <v>22</v>
      </c>
      <c r="AA349">
        <v>110442931</v>
      </c>
    </row>
    <row r="350" spans="1:27" ht="12.75">
      <c r="A350">
        <v>6</v>
      </c>
      <c r="B350" t="s">
        <v>844</v>
      </c>
      <c r="C350" t="s">
        <v>845</v>
      </c>
      <c r="D350">
        <v>959.97</v>
      </c>
      <c r="E350">
        <v>2.86</v>
      </c>
      <c r="F350" s="1">
        <v>22</v>
      </c>
      <c r="K350">
        <v>6</v>
      </c>
      <c r="L350" t="s">
        <v>994</v>
      </c>
      <c r="M350" t="s">
        <v>995</v>
      </c>
      <c r="N350">
        <v>112.74</v>
      </c>
      <c r="O350">
        <v>0.34</v>
      </c>
      <c r="P350">
        <v>22</v>
      </c>
      <c r="T350">
        <v>6</v>
      </c>
      <c r="U350" t="s">
        <v>816</v>
      </c>
      <c r="V350" t="s">
        <v>817</v>
      </c>
      <c r="W350">
        <v>713</v>
      </c>
      <c r="X350">
        <v>2.12</v>
      </c>
      <c r="Y350" s="1">
        <v>22</v>
      </c>
      <c r="AA350">
        <v>165084241</v>
      </c>
    </row>
    <row r="351" spans="1:27" ht="12.75">
      <c r="A351" s="9">
        <v>6</v>
      </c>
      <c r="B351" s="9" t="s">
        <v>846</v>
      </c>
      <c r="C351" s="9" t="s">
        <v>847</v>
      </c>
      <c r="D351" s="9">
        <v>5759.8</v>
      </c>
      <c r="E351" s="9">
        <v>17.15</v>
      </c>
      <c r="F351" s="141">
        <v>22</v>
      </c>
      <c r="G351" s="9"/>
      <c r="H351" s="9"/>
      <c r="I351" s="9"/>
      <c r="K351" s="19">
        <v>6</v>
      </c>
      <c r="L351" s="19" t="s">
        <v>996</v>
      </c>
      <c r="M351" s="19" t="s">
        <v>997</v>
      </c>
      <c r="N351" s="19">
        <f>4581*0.1</f>
        <v>458.1</v>
      </c>
      <c r="O351" s="19">
        <f>13.64*0.1</f>
        <v>1.364</v>
      </c>
      <c r="P351" s="19">
        <v>22</v>
      </c>
      <c r="Q351" s="19" t="s">
        <v>1144</v>
      </c>
      <c r="T351" s="19">
        <v>6</v>
      </c>
      <c r="U351" s="19" t="s">
        <v>818</v>
      </c>
      <c r="V351" s="19" t="s">
        <v>819</v>
      </c>
      <c r="W351" s="19">
        <v>300</v>
      </c>
      <c r="X351" s="19">
        <v>0.89</v>
      </c>
      <c r="Y351" s="143">
        <v>22</v>
      </c>
      <c r="AA351">
        <v>68487446</v>
      </c>
    </row>
    <row r="352" spans="1:27" ht="12.75">
      <c r="A352" s="19">
        <v>6</v>
      </c>
      <c r="B352" s="19" t="s">
        <v>848</v>
      </c>
      <c r="C352" s="19" t="s">
        <v>849</v>
      </c>
      <c r="D352" s="19">
        <v>351.33</v>
      </c>
      <c r="E352" s="19">
        <v>1.05</v>
      </c>
      <c r="F352" s="143">
        <v>22</v>
      </c>
      <c r="G352" s="19">
        <v>11674</v>
      </c>
      <c r="H352" s="19">
        <v>34.75</v>
      </c>
      <c r="I352" s="19">
        <v>22</v>
      </c>
      <c r="K352" s="144">
        <v>6</v>
      </c>
      <c r="L352" s="144" t="s">
        <v>1015</v>
      </c>
      <c r="M352" s="144" t="s">
        <v>1016</v>
      </c>
      <c r="N352" s="144">
        <v>7198.6</v>
      </c>
      <c r="O352" s="144">
        <v>21.43</v>
      </c>
      <c r="P352" s="122">
        <v>22</v>
      </c>
      <c r="Q352" s="144"/>
      <c r="T352">
        <v>6</v>
      </c>
      <c r="U352" t="s">
        <v>842</v>
      </c>
      <c r="V352" t="s">
        <v>843</v>
      </c>
      <c r="W352">
        <v>2879.9</v>
      </c>
      <c r="X352">
        <v>8.57</v>
      </c>
      <c r="Y352" s="1">
        <v>22</v>
      </c>
      <c r="AA352">
        <v>2163000000</v>
      </c>
    </row>
    <row r="353" spans="1:25" ht="12.75">
      <c r="A353">
        <v>6</v>
      </c>
      <c r="B353" t="s">
        <v>850</v>
      </c>
      <c r="C353" t="s">
        <v>851</v>
      </c>
      <c r="D353">
        <v>419.6</v>
      </c>
      <c r="E353">
        <v>1.25</v>
      </c>
      <c r="F353">
        <v>22</v>
      </c>
      <c r="K353">
        <v>6</v>
      </c>
      <c r="L353" t="s">
        <v>1045</v>
      </c>
      <c r="M353" t="s">
        <v>1046</v>
      </c>
      <c r="N353">
        <v>62.67</v>
      </c>
      <c r="O353">
        <v>0.19</v>
      </c>
      <c r="P353">
        <v>22</v>
      </c>
      <c r="Q353" s="9"/>
      <c r="T353">
        <v>6</v>
      </c>
      <c r="U353" t="s">
        <v>844</v>
      </c>
      <c r="V353" t="s">
        <v>845</v>
      </c>
      <c r="W353">
        <v>959.97</v>
      </c>
      <c r="X353">
        <v>2.86</v>
      </c>
      <c r="Y353" s="1">
        <v>22</v>
      </c>
    </row>
    <row r="354" spans="1:25" ht="12.75">
      <c r="A354">
        <v>6</v>
      </c>
      <c r="B354" t="s">
        <v>852</v>
      </c>
      <c r="C354" t="s">
        <v>853</v>
      </c>
      <c r="D354">
        <v>347.47</v>
      </c>
      <c r="E354">
        <v>1.03</v>
      </c>
      <c r="F354">
        <v>22</v>
      </c>
      <c r="K354">
        <v>6</v>
      </c>
      <c r="L354" t="s">
        <v>1047</v>
      </c>
      <c r="M354" t="s">
        <v>1048</v>
      </c>
      <c r="N354">
        <v>62.67</v>
      </c>
      <c r="O354">
        <v>0.19</v>
      </c>
      <c r="P354">
        <v>22</v>
      </c>
      <c r="Q354" s="9" t="s">
        <v>13</v>
      </c>
      <c r="R354" s="9" t="s">
        <v>13</v>
      </c>
      <c r="S354" s="9"/>
      <c r="T354" s="9">
        <v>6</v>
      </c>
      <c r="U354" s="9" t="s">
        <v>846</v>
      </c>
      <c r="V354" s="9" t="s">
        <v>847</v>
      </c>
      <c r="W354" s="9">
        <v>5759.8</v>
      </c>
      <c r="X354" s="9">
        <v>17.15</v>
      </c>
      <c r="Y354" s="141">
        <v>22</v>
      </c>
    </row>
    <row r="355" spans="1:25" ht="12.75">
      <c r="A355">
        <v>6</v>
      </c>
      <c r="B355" t="s">
        <v>854</v>
      </c>
      <c r="C355" t="s">
        <v>855</v>
      </c>
      <c r="D355">
        <v>990.53</v>
      </c>
      <c r="E355">
        <v>2.95</v>
      </c>
      <c r="F355">
        <v>22</v>
      </c>
      <c r="K355">
        <v>6</v>
      </c>
      <c r="L355" t="s">
        <v>1049</v>
      </c>
      <c r="M355" t="s">
        <v>1050</v>
      </c>
      <c r="N355">
        <v>62.67</v>
      </c>
      <c r="O355">
        <v>0.19</v>
      </c>
      <c r="P355">
        <v>22</v>
      </c>
      <c r="T355" s="19">
        <v>6</v>
      </c>
      <c r="U355" s="19" t="s">
        <v>848</v>
      </c>
      <c r="V355" s="19" t="s">
        <v>849</v>
      </c>
      <c r="W355" s="19">
        <v>351.33</v>
      </c>
      <c r="X355" s="19">
        <v>1.05</v>
      </c>
      <c r="Y355" s="143">
        <v>22</v>
      </c>
    </row>
    <row r="356" spans="1:27" ht="12.75">
      <c r="A356">
        <v>6</v>
      </c>
      <c r="B356" t="s">
        <v>856</v>
      </c>
      <c r="C356" t="s">
        <v>857</v>
      </c>
      <c r="D356">
        <v>146.04</v>
      </c>
      <c r="E356">
        <v>0.43</v>
      </c>
      <c r="F356">
        <v>22</v>
      </c>
      <c r="K356">
        <v>6</v>
      </c>
      <c r="L356" t="s">
        <v>1051</v>
      </c>
      <c r="M356" t="s">
        <v>1052</v>
      </c>
      <c r="N356">
        <v>149.82</v>
      </c>
      <c r="O356">
        <v>0.45</v>
      </c>
      <c r="P356">
        <v>22</v>
      </c>
      <c r="T356">
        <v>6</v>
      </c>
      <c r="U356" t="s">
        <v>878</v>
      </c>
      <c r="V356" t="s">
        <v>879</v>
      </c>
      <c r="W356">
        <v>382</v>
      </c>
      <c r="X356">
        <v>1.14</v>
      </c>
      <c r="Y356" s="1">
        <v>22</v>
      </c>
      <c r="AA356">
        <v>67782825</v>
      </c>
    </row>
    <row r="357" spans="1:27" ht="12.75">
      <c r="A357">
        <v>6</v>
      </c>
      <c r="B357" t="s">
        <v>858</v>
      </c>
      <c r="C357" t="s">
        <v>859</v>
      </c>
      <c r="D357">
        <v>154.18</v>
      </c>
      <c r="E357">
        <v>0.46</v>
      </c>
      <c r="F357">
        <v>22</v>
      </c>
      <c r="K357">
        <v>6</v>
      </c>
      <c r="L357" t="s">
        <v>1053</v>
      </c>
      <c r="M357" t="s">
        <v>1054</v>
      </c>
      <c r="N357">
        <v>149.82</v>
      </c>
      <c r="O357">
        <v>0.45</v>
      </c>
      <c r="P357">
        <v>22</v>
      </c>
      <c r="T357">
        <v>6</v>
      </c>
      <c r="U357" t="s">
        <v>938</v>
      </c>
      <c r="V357" t="s">
        <v>939</v>
      </c>
      <c r="W357">
        <v>261</v>
      </c>
      <c r="X357">
        <v>0.78</v>
      </c>
      <c r="Y357" s="1">
        <v>22</v>
      </c>
      <c r="AA357">
        <v>103265270</v>
      </c>
    </row>
    <row r="358" spans="1:27" ht="12.75">
      <c r="A358">
        <v>6</v>
      </c>
      <c r="B358" t="s">
        <v>860</v>
      </c>
      <c r="C358" t="s">
        <v>861</v>
      </c>
      <c r="D358">
        <v>380.18</v>
      </c>
      <c r="E358">
        <v>1.13</v>
      </c>
      <c r="F358">
        <v>22</v>
      </c>
      <c r="K358">
        <v>6</v>
      </c>
      <c r="L358" t="s">
        <v>1055</v>
      </c>
      <c r="M358" t="s">
        <v>1056</v>
      </c>
      <c r="N358">
        <v>497.7</v>
      </c>
      <c r="O358">
        <v>1.48</v>
      </c>
      <c r="P358">
        <v>22</v>
      </c>
      <c r="T358" s="9">
        <v>6</v>
      </c>
      <c r="U358" s="9" t="s">
        <v>968</v>
      </c>
      <c r="V358" s="9" t="s">
        <v>969</v>
      </c>
      <c r="W358" s="9">
        <v>457.5</v>
      </c>
      <c r="X358" s="9">
        <v>1.36</v>
      </c>
      <c r="Y358" s="141">
        <v>22</v>
      </c>
      <c r="AA358">
        <v>114787572</v>
      </c>
    </row>
    <row r="359" spans="1:26" ht="12.75">
      <c r="A359">
        <v>6</v>
      </c>
      <c r="B359" t="s">
        <v>862</v>
      </c>
      <c r="C359" t="s">
        <v>863</v>
      </c>
      <c r="D359">
        <v>391</v>
      </c>
      <c r="E359">
        <v>1.16</v>
      </c>
      <c r="F359">
        <v>22</v>
      </c>
      <c r="K359">
        <v>6</v>
      </c>
      <c r="L359" t="s">
        <v>1057</v>
      </c>
      <c r="M359" t="s">
        <v>1058</v>
      </c>
      <c r="N359">
        <v>158.81</v>
      </c>
      <c r="O359">
        <v>0.47</v>
      </c>
      <c r="P359">
        <v>22</v>
      </c>
      <c r="T359" s="19">
        <v>6</v>
      </c>
      <c r="U359" s="19" t="s">
        <v>970</v>
      </c>
      <c r="V359" s="19" t="s">
        <v>971</v>
      </c>
      <c r="W359" s="19">
        <v>152.5</v>
      </c>
      <c r="X359" s="19">
        <v>0.45</v>
      </c>
      <c r="Y359" s="143">
        <v>22</v>
      </c>
      <c r="Z359" s="19"/>
    </row>
    <row r="360" spans="1:26" ht="12.75">
      <c r="A360">
        <v>6</v>
      </c>
      <c r="B360" t="s">
        <v>864</v>
      </c>
      <c r="C360" t="s">
        <v>865</v>
      </c>
      <c r="D360">
        <v>174</v>
      </c>
      <c r="E360">
        <v>0.52</v>
      </c>
      <c r="F360">
        <v>22</v>
      </c>
      <c r="K360">
        <v>6</v>
      </c>
      <c r="L360" t="s">
        <v>1059</v>
      </c>
      <c r="M360" t="s">
        <v>1060</v>
      </c>
      <c r="N360">
        <v>172.99</v>
      </c>
      <c r="O360">
        <v>0.51</v>
      </c>
      <c r="P360">
        <v>22</v>
      </c>
      <c r="T360" s="19">
        <v>6</v>
      </c>
      <c r="U360" s="19" t="s">
        <v>1093</v>
      </c>
      <c r="V360" s="19" t="s">
        <v>1094</v>
      </c>
      <c r="W360" s="19">
        <v>145.45</v>
      </c>
      <c r="X360" s="19">
        <v>0.43</v>
      </c>
      <c r="Y360" s="143">
        <v>22</v>
      </c>
      <c r="Z360" s="19">
        <f>SUM(W331:W360)</f>
        <v>28152.58</v>
      </c>
    </row>
    <row r="361" spans="1:27" ht="12.75">
      <c r="A361">
        <v>6</v>
      </c>
      <c r="B361" t="s">
        <v>866</v>
      </c>
      <c r="C361" t="s">
        <v>867</v>
      </c>
      <c r="D361">
        <v>1184.5</v>
      </c>
      <c r="E361">
        <v>3.53</v>
      </c>
      <c r="F361">
        <v>22</v>
      </c>
      <c r="K361">
        <v>6</v>
      </c>
      <c r="L361" t="s">
        <v>1061</v>
      </c>
      <c r="M361" t="s">
        <v>1062</v>
      </c>
      <c r="N361">
        <v>251.45</v>
      </c>
      <c r="O361">
        <v>0.75</v>
      </c>
      <c r="P361">
        <v>22</v>
      </c>
      <c r="Z361" s="19">
        <f>SUM(X331:X360)</f>
        <v>83.81</v>
      </c>
      <c r="AA361">
        <f>SUM(AA331:AA360)</f>
        <v>5640534743.9</v>
      </c>
    </row>
    <row r="362" spans="1:26" ht="12.75">
      <c r="A362">
        <v>6</v>
      </c>
      <c r="B362" t="s">
        <v>868</v>
      </c>
      <c r="C362" t="s">
        <v>869</v>
      </c>
      <c r="D362">
        <v>531.5</v>
      </c>
      <c r="E362">
        <v>1.58</v>
      </c>
      <c r="F362">
        <v>22</v>
      </c>
      <c r="K362">
        <v>6</v>
      </c>
      <c r="L362" t="s">
        <v>1063</v>
      </c>
      <c r="M362" t="s">
        <v>1064</v>
      </c>
      <c r="N362">
        <v>251.45</v>
      </c>
      <c r="O362">
        <v>0.75</v>
      </c>
      <c r="P362">
        <v>22</v>
      </c>
      <c r="Z362" s="1">
        <f>Z361*0.85</f>
        <v>71.2385</v>
      </c>
    </row>
    <row r="363" spans="1:25" ht="12.75">
      <c r="A363">
        <v>6</v>
      </c>
      <c r="B363" t="s">
        <v>870</v>
      </c>
      <c r="C363" t="s">
        <v>871</v>
      </c>
      <c r="D363">
        <v>217</v>
      </c>
      <c r="E363">
        <v>0.65</v>
      </c>
      <c r="F363">
        <v>22</v>
      </c>
      <c r="K363">
        <v>6</v>
      </c>
      <c r="L363" t="s">
        <v>1065</v>
      </c>
      <c r="M363" t="s">
        <v>1066</v>
      </c>
      <c r="N363">
        <v>167.32</v>
      </c>
      <c r="O363">
        <v>0.5</v>
      </c>
      <c r="P363">
        <v>22</v>
      </c>
      <c r="T363">
        <v>6</v>
      </c>
      <c r="U363" t="s">
        <v>1004</v>
      </c>
      <c r="V363" t="s">
        <v>1005</v>
      </c>
      <c r="W363">
        <v>1194.81</v>
      </c>
      <c r="X363">
        <v>3.56</v>
      </c>
      <c r="Y363" s="1">
        <v>22</v>
      </c>
    </row>
    <row r="364" spans="1:25" ht="12.75">
      <c r="A364">
        <v>6</v>
      </c>
      <c r="B364" t="s">
        <v>872</v>
      </c>
      <c r="C364" t="s">
        <v>873</v>
      </c>
      <c r="D364">
        <v>758.54</v>
      </c>
      <c r="E364">
        <v>2.26</v>
      </c>
      <c r="F364">
        <v>22</v>
      </c>
      <c r="K364">
        <v>6</v>
      </c>
      <c r="L364" t="s">
        <v>1067</v>
      </c>
      <c r="M364" t="s">
        <v>1068</v>
      </c>
      <c r="N364">
        <v>251.45</v>
      </c>
      <c r="O364">
        <v>0.75</v>
      </c>
      <c r="P364">
        <v>22</v>
      </c>
      <c r="T364">
        <v>6</v>
      </c>
      <c r="U364" t="s">
        <v>1006</v>
      </c>
      <c r="V364" t="s">
        <v>1007</v>
      </c>
      <c r="W364">
        <v>1194.81</v>
      </c>
      <c r="X364">
        <v>3.56</v>
      </c>
      <c r="Y364" s="1">
        <v>22</v>
      </c>
    </row>
    <row r="365" spans="1:25" ht="12.75">
      <c r="A365">
        <v>6</v>
      </c>
      <c r="B365" t="s">
        <v>874</v>
      </c>
      <c r="C365" t="s">
        <v>875</v>
      </c>
      <c r="D365">
        <v>150.45</v>
      </c>
      <c r="E365">
        <v>0.45</v>
      </c>
      <c r="F365">
        <v>22</v>
      </c>
      <c r="K365">
        <v>6</v>
      </c>
      <c r="L365" t="s">
        <v>1069</v>
      </c>
      <c r="M365" t="s">
        <v>1070</v>
      </c>
      <c r="N365">
        <v>121.94</v>
      </c>
      <c r="O365">
        <v>0.36</v>
      </c>
      <c r="P365">
        <v>22</v>
      </c>
      <c r="T365">
        <v>6</v>
      </c>
      <c r="U365" t="s">
        <v>1008</v>
      </c>
      <c r="V365" t="s">
        <v>1009</v>
      </c>
      <c r="W365">
        <v>2105.15</v>
      </c>
      <c r="X365">
        <v>6.27</v>
      </c>
      <c r="Y365" s="1">
        <v>22</v>
      </c>
    </row>
    <row r="366" spans="1:25" ht="12.75">
      <c r="A366">
        <v>6</v>
      </c>
      <c r="B366" t="s">
        <v>876</v>
      </c>
      <c r="C366" t="s">
        <v>877</v>
      </c>
      <c r="D366">
        <v>210.01</v>
      </c>
      <c r="E366">
        <v>0.63</v>
      </c>
      <c r="F366">
        <v>22</v>
      </c>
      <c r="K366">
        <v>6</v>
      </c>
      <c r="L366" t="s">
        <v>1071</v>
      </c>
      <c r="M366" t="s">
        <v>1072</v>
      </c>
      <c r="N366">
        <v>107.76</v>
      </c>
      <c r="O366">
        <v>0.32</v>
      </c>
      <c r="P366">
        <v>22</v>
      </c>
      <c r="T366">
        <v>6</v>
      </c>
      <c r="U366" t="s">
        <v>1010</v>
      </c>
      <c r="V366" t="s">
        <v>1011</v>
      </c>
      <c r="W366">
        <v>443.79</v>
      </c>
      <c r="X366">
        <v>1.32</v>
      </c>
      <c r="Y366" s="1">
        <v>22</v>
      </c>
    </row>
    <row r="367" spans="1:25" ht="12.75">
      <c r="A367">
        <v>6</v>
      </c>
      <c r="B367" t="s">
        <v>878</v>
      </c>
      <c r="C367" t="s">
        <v>879</v>
      </c>
      <c r="D367">
        <v>382</v>
      </c>
      <c r="E367">
        <v>1.14</v>
      </c>
      <c r="F367" s="1">
        <v>22</v>
      </c>
      <c r="K367">
        <v>6</v>
      </c>
      <c r="L367" t="s">
        <v>1073</v>
      </c>
      <c r="M367" t="s">
        <v>1074</v>
      </c>
      <c r="N367">
        <v>167.32</v>
      </c>
      <c r="O367">
        <v>0.5</v>
      </c>
      <c r="P367">
        <v>22</v>
      </c>
      <c r="T367">
        <v>6</v>
      </c>
      <c r="U367" t="s">
        <v>1012</v>
      </c>
      <c r="V367" t="s">
        <v>1013</v>
      </c>
      <c r="W367">
        <v>599.3</v>
      </c>
      <c r="X367">
        <v>1.78</v>
      </c>
      <c r="Y367" s="1">
        <v>22</v>
      </c>
    </row>
    <row r="368" spans="1:25" ht="12.75">
      <c r="A368">
        <v>6</v>
      </c>
      <c r="B368" t="s">
        <v>880</v>
      </c>
      <c r="C368" t="s">
        <v>881</v>
      </c>
      <c r="D368">
        <v>447.64</v>
      </c>
      <c r="E368">
        <v>1.33</v>
      </c>
      <c r="F368">
        <v>22</v>
      </c>
      <c r="K368">
        <v>6</v>
      </c>
      <c r="L368" t="s">
        <v>1075</v>
      </c>
      <c r="M368" t="s">
        <v>1076</v>
      </c>
      <c r="N368">
        <v>165.9</v>
      </c>
      <c r="O368">
        <v>0.49</v>
      </c>
      <c r="P368">
        <v>22</v>
      </c>
      <c r="T368">
        <v>6</v>
      </c>
      <c r="U368" t="s">
        <v>1014</v>
      </c>
      <c r="V368" t="s">
        <v>182</v>
      </c>
      <c r="W368">
        <v>1769.46</v>
      </c>
      <c r="X368">
        <v>5.27</v>
      </c>
      <c r="Y368" s="1">
        <v>22</v>
      </c>
    </row>
    <row r="369" spans="1:25" ht="12.75">
      <c r="A369">
        <v>6</v>
      </c>
      <c r="B369" t="s">
        <v>882</v>
      </c>
      <c r="C369" t="s">
        <v>883</v>
      </c>
      <c r="D369">
        <v>110.36</v>
      </c>
      <c r="E369">
        <v>0.33</v>
      </c>
      <c r="F369">
        <v>22</v>
      </c>
      <c r="K369">
        <v>6</v>
      </c>
      <c r="L369" t="s">
        <v>1077</v>
      </c>
      <c r="M369" t="s">
        <v>1078</v>
      </c>
      <c r="N369">
        <v>104.93</v>
      </c>
      <c r="O369">
        <v>0.31</v>
      </c>
      <c r="P369">
        <v>22</v>
      </c>
      <c r="T369">
        <v>6</v>
      </c>
      <c r="U369" t="s">
        <v>1017</v>
      </c>
      <c r="V369" t="s">
        <v>1018</v>
      </c>
      <c r="W369">
        <v>1305.76</v>
      </c>
      <c r="X369">
        <v>3.89</v>
      </c>
      <c r="Y369" s="1">
        <v>22</v>
      </c>
    </row>
    <row r="370" spans="1:25" ht="12.75">
      <c r="A370">
        <v>6</v>
      </c>
      <c r="B370" t="s">
        <v>884</v>
      </c>
      <c r="C370" t="s">
        <v>885</v>
      </c>
      <c r="D370">
        <v>1004.67</v>
      </c>
      <c r="E370">
        <v>2.99</v>
      </c>
      <c r="F370">
        <v>22</v>
      </c>
      <c r="K370">
        <v>6</v>
      </c>
      <c r="L370" t="s">
        <v>1079</v>
      </c>
      <c r="M370" t="s">
        <v>1080</v>
      </c>
      <c r="N370">
        <v>588</v>
      </c>
      <c r="O370">
        <v>1.75</v>
      </c>
      <c r="P370">
        <v>22</v>
      </c>
      <c r="T370">
        <v>6</v>
      </c>
      <c r="U370" t="s">
        <v>1019</v>
      </c>
      <c r="V370" t="s">
        <v>1020</v>
      </c>
      <c r="W370">
        <v>250.34</v>
      </c>
      <c r="X370">
        <v>0.75</v>
      </c>
      <c r="Y370" s="1">
        <v>22</v>
      </c>
    </row>
    <row r="371" spans="1:25" ht="12.75">
      <c r="A371">
        <v>6</v>
      </c>
      <c r="B371" t="s">
        <v>886</v>
      </c>
      <c r="C371" t="s">
        <v>887</v>
      </c>
      <c r="D371">
        <v>148.28</v>
      </c>
      <c r="E371">
        <v>0.44</v>
      </c>
      <c r="F371">
        <v>22</v>
      </c>
      <c r="K371">
        <v>6</v>
      </c>
      <c r="L371" t="s">
        <v>1081</v>
      </c>
      <c r="M371" t="s">
        <v>1082</v>
      </c>
      <c r="N371">
        <v>418.29</v>
      </c>
      <c r="O371">
        <v>1.25</v>
      </c>
      <c r="P371">
        <v>22</v>
      </c>
      <c r="T371">
        <v>6</v>
      </c>
      <c r="U371" t="s">
        <v>1021</v>
      </c>
      <c r="V371" t="s">
        <v>1022</v>
      </c>
      <c r="W371">
        <v>497.84</v>
      </c>
      <c r="X371">
        <v>1.48</v>
      </c>
      <c r="Y371" s="1">
        <v>22</v>
      </c>
    </row>
    <row r="372" spans="1:25" ht="12.75">
      <c r="A372">
        <v>6</v>
      </c>
      <c r="B372" t="s">
        <v>888</v>
      </c>
      <c r="C372" t="s">
        <v>889</v>
      </c>
      <c r="D372">
        <v>469.05</v>
      </c>
      <c r="E372">
        <v>1.4</v>
      </c>
      <c r="F372">
        <v>22</v>
      </c>
      <c r="K372">
        <v>6</v>
      </c>
      <c r="L372" t="s">
        <v>1083</v>
      </c>
      <c r="M372" t="s">
        <v>1084</v>
      </c>
      <c r="N372">
        <v>281.71</v>
      </c>
      <c r="O372">
        <v>0.84</v>
      </c>
      <c r="P372">
        <v>22</v>
      </c>
      <c r="T372">
        <v>6</v>
      </c>
      <c r="U372" t="s">
        <v>1023</v>
      </c>
      <c r="V372" t="s">
        <v>1024</v>
      </c>
      <c r="W372">
        <v>256.03</v>
      </c>
      <c r="X372">
        <v>0.76</v>
      </c>
      <c r="Y372" s="1">
        <v>22</v>
      </c>
    </row>
    <row r="373" spans="1:25" ht="12.75">
      <c r="A373">
        <v>6</v>
      </c>
      <c r="B373" t="s">
        <v>890</v>
      </c>
      <c r="C373" t="s">
        <v>891</v>
      </c>
      <c r="D373">
        <v>149.56</v>
      </c>
      <c r="E373">
        <v>0.45</v>
      </c>
      <c r="F373">
        <v>22</v>
      </c>
      <c r="K373">
        <v>6</v>
      </c>
      <c r="L373" t="s">
        <v>1085</v>
      </c>
      <c r="M373" t="s">
        <v>1086</v>
      </c>
      <c r="N373">
        <v>301.33</v>
      </c>
      <c r="O373">
        <v>0.9</v>
      </c>
      <c r="P373">
        <v>22</v>
      </c>
      <c r="T373">
        <v>6</v>
      </c>
      <c r="U373" t="s">
        <v>1025</v>
      </c>
      <c r="V373" t="s">
        <v>1026</v>
      </c>
      <c r="W373">
        <v>574.65</v>
      </c>
      <c r="X373">
        <v>1.71</v>
      </c>
      <c r="Y373" s="1">
        <v>22</v>
      </c>
    </row>
    <row r="374" spans="1:25" ht="12.75">
      <c r="A374">
        <v>6</v>
      </c>
      <c r="B374" t="s">
        <v>892</v>
      </c>
      <c r="C374" t="s">
        <v>893</v>
      </c>
      <c r="D374">
        <v>274.19</v>
      </c>
      <c r="E374">
        <v>0.82</v>
      </c>
      <c r="F374">
        <v>22</v>
      </c>
      <c r="K374">
        <v>6</v>
      </c>
      <c r="L374" t="s">
        <v>1087</v>
      </c>
      <c r="M374" t="s">
        <v>1088</v>
      </c>
      <c r="N374">
        <v>301.33</v>
      </c>
      <c r="O374">
        <v>0.9</v>
      </c>
      <c r="P374">
        <v>22</v>
      </c>
      <c r="T374">
        <v>6</v>
      </c>
      <c r="U374" t="s">
        <v>1027</v>
      </c>
      <c r="V374" t="s">
        <v>1028</v>
      </c>
      <c r="W374">
        <v>1337.05</v>
      </c>
      <c r="X374">
        <v>3.98</v>
      </c>
      <c r="Y374" s="1">
        <v>22</v>
      </c>
    </row>
    <row r="375" spans="1:25" ht="12.75">
      <c r="A375">
        <v>6</v>
      </c>
      <c r="B375" t="s">
        <v>894</v>
      </c>
      <c r="C375" t="s">
        <v>895</v>
      </c>
      <c r="D375">
        <v>265.88</v>
      </c>
      <c r="E375">
        <v>0.79</v>
      </c>
      <c r="F375">
        <v>22</v>
      </c>
      <c r="K375">
        <v>6</v>
      </c>
      <c r="L375" t="s">
        <v>1089</v>
      </c>
      <c r="M375" t="s">
        <v>1090</v>
      </c>
      <c r="N375">
        <v>301.33</v>
      </c>
      <c r="O375">
        <v>0.9</v>
      </c>
      <c r="P375">
        <v>22</v>
      </c>
      <c r="T375">
        <v>6</v>
      </c>
      <c r="U375" t="s">
        <v>1029</v>
      </c>
      <c r="V375" t="s">
        <v>1030</v>
      </c>
      <c r="W375">
        <v>762.4</v>
      </c>
      <c r="X375">
        <v>2.27</v>
      </c>
      <c r="Y375" s="1">
        <v>22</v>
      </c>
    </row>
    <row r="376" spans="1:27" ht="12.75">
      <c r="A376">
        <v>6</v>
      </c>
      <c r="B376" t="s">
        <v>896</v>
      </c>
      <c r="C376" t="s">
        <v>897</v>
      </c>
      <c r="D376">
        <v>274.19</v>
      </c>
      <c r="E376">
        <v>0.82</v>
      </c>
      <c r="F376">
        <v>22</v>
      </c>
      <c r="K376">
        <v>6</v>
      </c>
      <c r="L376" t="s">
        <v>1091</v>
      </c>
      <c r="M376" t="s">
        <v>1092</v>
      </c>
      <c r="N376">
        <v>254.55</v>
      </c>
      <c r="O376">
        <v>0.76</v>
      </c>
      <c r="P376">
        <v>22</v>
      </c>
      <c r="T376" s="19">
        <v>6</v>
      </c>
      <c r="U376" s="19" t="s">
        <v>1031</v>
      </c>
      <c r="V376" s="19" t="s">
        <v>1032</v>
      </c>
      <c r="W376" s="19">
        <v>3942</v>
      </c>
      <c r="X376" s="19">
        <v>11.74</v>
      </c>
      <c r="Y376" s="143">
        <v>22</v>
      </c>
      <c r="Z376" s="19">
        <f>SUM(W363:W376)</f>
        <v>16233.39</v>
      </c>
      <c r="AA376" s="19">
        <f>SUM(X363:X376)</f>
        <v>48.34000000000001</v>
      </c>
    </row>
    <row r="377" spans="1:16" ht="12.75">
      <c r="A377">
        <v>6</v>
      </c>
      <c r="B377" t="s">
        <v>898</v>
      </c>
      <c r="C377" t="s">
        <v>899</v>
      </c>
      <c r="D377">
        <v>274.19</v>
      </c>
      <c r="E377">
        <v>0.82</v>
      </c>
      <c r="F377">
        <v>22</v>
      </c>
      <c r="K377">
        <v>6</v>
      </c>
      <c r="L377" t="s">
        <v>1095</v>
      </c>
      <c r="M377" t="s">
        <v>1096</v>
      </c>
      <c r="N377">
        <v>247</v>
      </c>
      <c r="O377">
        <v>0.74</v>
      </c>
      <c r="P377">
        <v>22</v>
      </c>
    </row>
    <row r="378" spans="1:20" ht="12.75">
      <c r="A378">
        <v>6</v>
      </c>
      <c r="B378" t="s">
        <v>900</v>
      </c>
      <c r="C378" t="s">
        <v>901</v>
      </c>
      <c r="D378">
        <v>263.33</v>
      </c>
      <c r="E378">
        <v>0.78</v>
      </c>
      <c r="F378">
        <v>22</v>
      </c>
      <c r="K378">
        <v>6</v>
      </c>
      <c r="L378" t="s">
        <v>1097</v>
      </c>
      <c r="M378" t="s">
        <v>1098</v>
      </c>
      <c r="N378">
        <v>247</v>
      </c>
      <c r="O378">
        <v>0.74</v>
      </c>
      <c r="P378">
        <v>22</v>
      </c>
      <c r="T378" s="9"/>
    </row>
    <row r="379" spans="1:25" ht="12.75">
      <c r="A379">
        <v>6</v>
      </c>
      <c r="B379" t="s">
        <v>902</v>
      </c>
      <c r="C379" t="s">
        <v>903</v>
      </c>
      <c r="D379">
        <v>173.33</v>
      </c>
      <c r="E379">
        <v>0.52</v>
      </c>
      <c r="F379">
        <v>22</v>
      </c>
      <c r="K379">
        <v>6</v>
      </c>
      <c r="L379" t="s">
        <v>1099</v>
      </c>
      <c r="M379" t="s">
        <v>1100</v>
      </c>
      <c r="N379">
        <v>106.91</v>
      </c>
      <c r="O379">
        <v>0.32</v>
      </c>
      <c r="P379">
        <v>22</v>
      </c>
      <c r="T379">
        <v>6</v>
      </c>
      <c r="U379" t="s">
        <v>1037</v>
      </c>
      <c r="V379" t="s">
        <v>1038</v>
      </c>
      <c r="W379">
        <v>735.4</v>
      </c>
      <c r="X379">
        <v>2.19</v>
      </c>
      <c r="Y379" s="1">
        <v>22</v>
      </c>
    </row>
    <row r="380" spans="1:25" ht="12.75">
      <c r="A380">
        <v>6</v>
      </c>
      <c r="B380" t="s">
        <v>904</v>
      </c>
      <c r="C380" t="s">
        <v>905</v>
      </c>
      <c r="D380">
        <v>200</v>
      </c>
      <c r="E380">
        <v>0.6</v>
      </c>
      <c r="F380">
        <v>22</v>
      </c>
      <c r="K380">
        <v>6</v>
      </c>
      <c r="L380" t="s">
        <v>1101</v>
      </c>
      <c r="M380" t="s">
        <v>1102</v>
      </c>
      <c r="N380">
        <v>52.09</v>
      </c>
      <c r="O380">
        <v>0.16</v>
      </c>
      <c r="P380">
        <v>22</v>
      </c>
      <c r="T380">
        <v>6</v>
      </c>
      <c r="U380" t="s">
        <v>1039</v>
      </c>
      <c r="V380" t="s">
        <v>1040</v>
      </c>
      <c r="W380">
        <v>1097.26</v>
      </c>
      <c r="X380">
        <v>3.27</v>
      </c>
      <c r="Y380" s="1">
        <v>22</v>
      </c>
    </row>
    <row r="381" spans="1:25" ht="12.75">
      <c r="A381">
        <v>6</v>
      </c>
      <c r="B381" t="s">
        <v>906</v>
      </c>
      <c r="C381" t="s">
        <v>907</v>
      </c>
      <c r="D381">
        <v>290</v>
      </c>
      <c r="E381">
        <v>0.86</v>
      </c>
      <c r="F381">
        <v>22</v>
      </c>
      <c r="K381">
        <v>6</v>
      </c>
      <c r="L381" t="s">
        <v>1103</v>
      </c>
      <c r="M381" t="s">
        <v>1104</v>
      </c>
      <c r="N381">
        <v>169.36</v>
      </c>
      <c r="O381">
        <v>0.5</v>
      </c>
      <c r="P381">
        <v>22</v>
      </c>
      <c r="T381">
        <v>6</v>
      </c>
      <c r="U381" t="s">
        <v>1041</v>
      </c>
      <c r="V381" t="s">
        <v>1042</v>
      </c>
      <c r="W381">
        <v>548.63</v>
      </c>
      <c r="X381">
        <v>1.63</v>
      </c>
      <c r="Y381" s="1">
        <v>22</v>
      </c>
    </row>
    <row r="382" spans="1:27" ht="12.75">
      <c r="A382">
        <v>6</v>
      </c>
      <c r="B382" t="s">
        <v>908</v>
      </c>
      <c r="C382" t="s">
        <v>909</v>
      </c>
      <c r="D382">
        <v>313.33</v>
      </c>
      <c r="E382">
        <v>0.93</v>
      </c>
      <c r="F382">
        <v>22</v>
      </c>
      <c r="K382" s="19">
        <v>6</v>
      </c>
      <c r="L382" t="s">
        <v>1105</v>
      </c>
      <c r="M382" t="s">
        <v>1106</v>
      </c>
      <c r="N382">
        <v>225</v>
      </c>
      <c r="O382">
        <v>0.67</v>
      </c>
      <c r="P382">
        <v>22</v>
      </c>
      <c r="T382" s="19">
        <v>6</v>
      </c>
      <c r="U382" s="19" t="s">
        <v>1043</v>
      </c>
      <c r="V382" s="19" t="s">
        <v>1044</v>
      </c>
      <c r="W382" s="19">
        <v>324.72</v>
      </c>
      <c r="X382" s="19">
        <v>0.97</v>
      </c>
      <c r="Y382" s="143">
        <v>22</v>
      </c>
      <c r="Z382" s="19">
        <f>SUM(W379:W382)</f>
        <v>2706.01</v>
      </c>
      <c r="AA382" s="19">
        <f>SUM(X379:X382)</f>
        <v>8.06</v>
      </c>
    </row>
    <row r="383" spans="1:19" ht="12.75">
      <c r="A383">
        <v>6</v>
      </c>
      <c r="B383" t="s">
        <v>910</v>
      </c>
      <c r="C383" t="s">
        <v>911</v>
      </c>
      <c r="D383">
        <v>356.67</v>
      </c>
      <c r="E383">
        <v>1.06</v>
      </c>
      <c r="F383">
        <v>22</v>
      </c>
      <c r="K383">
        <v>6</v>
      </c>
      <c r="L383" s="19" t="s">
        <v>1129</v>
      </c>
      <c r="M383" s="19" t="s">
        <v>1130</v>
      </c>
      <c r="N383" s="19">
        <v>904.52</v>
      </c>
      <c r="O383" s="19">
        <v>2.69</v>
      </c>
      <c r="P383" s="19">
        <v>22</v>
      </c>
      <c r="Q383" s="19">
        <f>SUM(N159:N383)</f>
        <v>136889.82200000004</v>
      </c>
      <c r="R383" s="19">
        <f>SUM(O159:O383)</f>
        <v>407.5239999999998</v>
      </c>
      <c r="S383" s="9"/>
    </row>
    <row r="384" spans="1:28" ht="12.75">
      <c r="A384">
        <v>6</v>
      </c>
      <c r="B384" t="s">
        <v>912</v>
      </c>
      <c r="C384" t="s">
        <v>913</v>
      </c>
      <c r="D384">
        <v>133.33</v>
      </c>
      <c r="E384">
        <v>0.4</v>
      </c>
      <c r="F384">
        <v>22</v>
      </c>
      <c r="S384">
        <v>2005</v>
      </c>
      <c r="T384">
        <v>6</v>
      </c>
      <c r="U384" t="s">
        <v>590</v>
      </c>
      <c r="V384" t="s">
        <v>591</v>
      </c>
      <c r="W384">
        <v>22380</v>
      </c>
      <c r="X384">
        <v>66.62</v>
      </c>
      <c r="Y384">
        <v>0</v>
      </c>
      <c r="AA384">
        <v>5210347025</v>
      </c>
      <c r="AB384" s="217">
        <f>AA384/1000000</f>
        <v>5210.347025</v>
      </c>
    </row>
    <row r="385" spans="1:28" ht="12.75">
      <c r="A385">
        <v>6</v>
      </c>
      <c r="B385" t="s">
        <v>914</v>
      </c>
      <c r="C385" t="s">
        <v>915</v>
      </c>
      <c r="D385">
        <v>91.87</v>
      </c>
      <c r="E385">
        <v>0.27</v>
      </c>
      <c r="F385">
        <v>22</v>
      </c>
      <c r="K385">
        <v>6</v>
      </c>
      <c r="L385" t="s">
        <v>744</v>
      </c>
      <c r="M385" t="s">
        <v>745</v>
      </c>
      <c r="N385">
        <v>2499.97</v>
      </c>
      <c r="O385">
        <v>7.44</v>
      </c>
      <c r="P385">
        <v>8</v>
      </c>
      <c r="S385">
        <v>1142801710</v>
      </c>
      <c r="T385">
        <v>6</v>
      </c>
      <c r="U385" t="s">
        <v>592</v>
      </c>
      <c r="V385" t="s">
        <v>593</v>
      </c>
      <c r="W385">
        <v>2535.55</v>
      </c>
      <c r="X385">
        <v>7.55</v>
      </c>
      <c r="Y385">
        <v>0</v>
      </c>
      <c r="AA385">
        <f>6092253319-(1421586337*0.3)-289602794-45863172</f>
        <v>5330311451.9</v>
      </c>
      <c r="AB385" s="217">
        <f>AA385/1000000</f>
        <v>5330.3114519</v>
      </c>
    </row>
    <row r="386" spans="1:28" ht="12.75">
      <c r="A386">
        <v>6</v>
      </c>
      <c r="B386" t="s">
        <v>916</v>
      </c>
      <c r="C386" t="s">
        <v>917</v>
      </c>
      <c r="D386">
        <v>157.49</v>
      </c>
      <c r="E386">
        <v>0.47</v>
      </c>
      <c r="F386">
        <v>22</v>
      </c>
      <c r="K386">
        <v>6</v>
      </c>
      <c r="L386" t="s">
        <v>746</v>
      </c>
      <c r="M386" t="s">
        <v>747</v>
      </c>
      <c r="N386">
        <v>534.05</v>
      </c>
      <c r="O386">
        <v>1.59</v>
      </c>
      <c r="P386">
        <v>8</v>
      </c>
      <c r="T386">
        <v>6</v>
      </c>
      <c r="U386" t="s">
        <v>594</v>
      </c>
      <c r="V386" t="s">
        <v>595</v>
      </c>
      <c r="W386">
        <v>2781.33</v>
      </c>
      <c r="X386">
        <v>8.28</v>
      </c>
      <c r="Y386">
        <v>0</v>
      </c>
      <c r="AB386" s="217" t="s">
        <v>13</v>
      </c>
    </row>
    <row r="387" spans="1:28" ht="12.75">
      <c r="A387">
        <v>6</v>
      </c>
      <c r="B387" t="s">
        <v>918</v>
      </c>
      <c r="C387" t="s">
        <v>919</v>
      </c>
      <c r="D387">
        <v>782.2</v>
      </c>
      <c r="E387">
        <v>2.33</v>
      </c>
      <c r="F387">
        <v>22</v>
      </c>
      <c r="K387">
        <v>6</v>
      </c>
      <c r="L387" t="s">
        <v>748</v>
      </c>
      <c r="M387" t="s">
        <v>749</v>
      </c>
      <c r="N387">
        <v>1403</v>
      </c>
      <c r="O387">
        <v>4.18</v>
      </c>
      <c r="P387">
        <v>8</v>
      </c>
      <c r="T387">
        <v>6</v>
      </c>
      <c r="U387" t="s">
        <v>606</v>
      </c>
      <c r="V387" t="s">
        <v>607</v>
      </c>
      <c r="W387">
        <v>8558</v>
      </c>
      <c r="X387">
        <v>25.48</v>
      </c>
      <c r="Y387">
        <v>0</v>
      </c>
      <c r="AB387" s="217" t="s">
        <v>13</v>
      </c>
    </row>
    <row r="388" spans="1:28" ht="12.75">
      <c r="A388">
        <v>6</v>
      </c>
      <c r="B388" t="s">
        <v>920</v>
      </c>
      <c r="C388" t="s">
        <v>921</v>
      </c>
      <c r="D388">
        <v>165.36</v>
      </c>
      <c r="E388">
        <v>0.49</v>
      </c>
      <c r="F388">
        <v>22</v>
      </c>
      <c r="K388">
        <v>6</v>
      </c>
      <c r="L388" t="s">
        <v>820</v>
      </c>
      <c r="M388" t="s">
        <v>821</v>
      </c>
      <c r="N388">
        <v>121.14</v>
      </c>
      <c r="O388">
        <v>0.36</v>
      </c>
      <c r="P388">
        <v>8</v>
      </c>
      <c r="S388">
        <v>299157146</v>
      </c>
      <c r="T388">
        <v>6</v>
      </c>
      <c r="U388" t="s">
        <v>610</v>
      </c>
      <c r="V388" t="s">
        <v>611</v>
      </c>
      <c r="W388">
        <v>143.47</v>
      </c>
      <c r="X388">
        <v>0.43</v>
      </c>
      <c r="Y388">
        <v>0</v>
      </c>
      <c r="Z388" t="s">
        <v>1147</v>
      </c>
      <c r="AB388" s="217" t="s">
        <v>13</v>
      </c>
    </row>
    <row r="389" spans="1:28" ht="12.75">
      <c r="A389">
        <v>6</v>
      </c>
      <c r="B389" t="s">
        <v>922</v>
      </c>
      <c r="C389" t="s">
        <v>923</v>
      </c>
      <c r="D389">
        <v>291.36</v>
      </c>
      <c r="E389">
        <v>0.87</v>
      </c>
      <c r="F389">
        <v>22</v>
      </c>
      <c r="K389">
        <v>6</v>
      </c>
      <c r="L389" t="s">
        <v>822</v>
      </c>
      <c r="M389" t="s">
        <v>823</v>
      </c>
      <c r="N389">
        <v>1534.36</v>
      </c>
      <c r="O389">
        <v>4.57</v>
      </c>
      <c r="P389">
        <v>8</v>
      </c>
      <c r="T389">
        <v>6</v>
      </c>
      <c r="U389" t="s">
        <v>612</v>
      </c>
      <c r="V389" t="s">
        <v>613</v>
      </c>
      <c r="W389">
        <v>147.76</v>
      </c>
      <c r="X389">
        <v>0.44</v>
      </c>
      <c r="Y389">
        <v>0</v>
      </c>
      <c r="AB389" s="217" t="s">
        <v>13</v>
      </c>
    </row>
    <row r="390" spans="1:28" ht="12.75">
      <c r="A390">
        <v>6</v>
      </c>
      <c r="B390" t="s">
        <v>924</v>
      </c>
      <c r="C390" t="s">
        <v>925</v>
      </c>
      <c r="D390">
        <v>165.36</v>
      </c>
      <c r="E390">
        <v>0.49</v>
      </c>
      <c r="F390">
        <v>22</v>
      </c>
      <c r="K390">
        <v>6</v>
      </c>
      <c r="L390" t="s">
        <v>824</v>
      </c>
      <c r="M390" t="s">
        <v>825</v>
      </c>
      <c r="N390">
        <v>2703.35</v>
      </c>
      <c r="O390">
        <v>8.05</v>
      </c>
      <c r="P390">
        <v>8</v>
      </c>
      <c r="S390">
        <v>587392290</v>
      </c>
      <c r="T390" s="19">
        <v>6</v>
      </c>
      <c r="U390" s="19" t="s">
        <v>632</v>
      </c>
      <c r="V390" s="19" t="s">
        <v>633</v>
      </c>
      <c r="W390" s="19">
        <v>6091.36</v>
      </c>
      <c r="X390" s="19">
        <v>18.13</v>
      </c>
      <c r="Y390" s="19">
        <v>0</v>
      </c>
      <c r="AA390">
        <v>1185813582</v>
      </c>
      <c r="AB390" s="217">
        <f>AA390/1000000</f>
        <v>1185.813582</v>
      </c>
    </row>
    <row r="391" spans="1:28" ht="12.75">
      <c r="A391">
        <v>6</v>
      </c>
      <c r="B391" t="s">
        <v>926</v>
      </c>
      <c r="C391" t="s">
        <v>927</v>
      </c>
      <c r="D391">
        <v>291.36</v>
      </c>
      <c r="E391">
        <v>0.87</v>
      </c>
      <c r="F391">
        <v>22</v>
      </c>
      <c r="K391">
        <v>6</v>
      </c>
      <c r="L391" t="s">
        <v>826</v>
      </c>
      <c r="M391" t="s">
        <v>827</v>
      </c>
      <c r="N391">
        <v>549.32</v>
      </c>
      <c r="O391">
        <v>1.64</v>
      </c>
      <c r="P391">
        <v>8</v>
      </c>
      <c r="T391">
        <v>6</v>
      </c>
      <c r="U391" t="s">
        <v>762</v>
      </c>
      <c r="V391" t="s">
        <v>763</v>
      </c>
      <c r="W391">
        <v>341.34</v>
      </c>
      <c r="X391">
        <v>1.02</v>
      </c>
      <c r="Y391">
        <v>0</v>
      </c>
      <c r="AA391">
        <v>1204862468</v>
      </c>
      <c r="AB391" s="217">
        <f>AA391/1000000</f>
        <v>1204.862468</v>
      </c>
    </row>
    <row r="392" spans="1:28" ht="12.75">
      <c r="A392">
        <v>6</v>
      </c>
      <c r="B392" t="s">
        <v>928</v>
      </c>
      <c r="C392" t="s">
        <v>929</v>
      </c>
      <c r="D392">
        <v>223</v>
      </c>
      <c r="E392">
        <v>0.66</v>
      </c>
      <c r="F392">
        <v>22</v>
      </c>
      <c r="K392">
        <v>6</v>
      </c>
      <c r="L392" t="s">
        <v>828</v>
      </c>
      <c r="M392" t="s">
        <v>829</v>
      </c>
      <c r="N392">
        <v>994.83</v>
      </c>
      <c r="O392">
        <v>2.96</v>
      </c>
      <c r="P392">
        <v>8</v>
      </c>
      <c r="S392">
        <v>208277793</v>
      </c>
      <c r="T392">
        <v>6</v>
      </c>
      <c r="U392" t="s">
        <v>764</v>
      </c>
      <c r="V392" t="s">
        <v>765</v>
      </c>
      <c r="W392">
        <v>1166.24</v>
      </c>
      <c r="X392">
        <v>3.47</v>
      </c>
      <c r="Y392">
        <v>0</v>
      </c>
      <c r="AA392">
        <v>482999687</v>
      </c>
      <c r="AB392" s="217">
        <f>AA392/1000000</f>
        <v>482.999687</v>
      </c>
    </row>
    <row r="393" spans="1:28" ht="12.75">
      <c r="A393">
        <v>6</v>
      </c>
      <c r="B393" t="s">
        <v>930</v>
      </c>
      <c r="C393" t="s">
        <v>931</v>
      </c>
      <c r="D393">
        <v>223</v>
      </c>
      <c r="E393">
        <v>0.66</v>
      </c>
      <c r="F393">
        <v>22</v>
      </c>
      <c r="K393">
        <v>6</v>
      </c>
      <c r="L393" t="s">
        <v>830</v>
      </c>
      <c r="M393" t="s">
        <v>831</v>
      </c>
      <c r="N393">
        <v>471.94</v>
      </c>
      <c r="O393">
        <v>1.4</v>
      </c>
      <c r="P393">
        <v>8</v>
      </c>
      <c r="S393">
        <v>56184262</v>
      </c>
      <c r="T393">
        <v>6</v>
      </c>
      <c r="U393" t="s">
        <v>766</v>
      </c>
      <c r="V393" t="s">
        <v>767</v>
      </c>
      <c r="W393">
        <v>321.43</v>
      </c>
      <c r="X393">
        <v>0.96</v>
      </c>
      <c r="Y393">
        <v>0</v>
      </c>
      <c r="AB393" s="217" t="s">
        <v>13</v>
      </c>
    </row>
    <row r="394" spans="1:28" ht="12.75">
      <c r="A394">
        <v>6</v>
      </c>
      <c r="B394" t="s">
        <v>932</v>
      </c>
      <c r="C394" t="s">
        <v>933</v>
      </c>
      <c r="D394">
        <v>330.77</v>
      </c>
      <c r="E394">
        <v>0.98</v>
      </c>
      <c r="F394">
        <v>22</v>
      </c>
      <c r="K394">
        <v>6</v>
      </c>
      <c r="L394" t="s">
        <v>940</v>
      </c>
      <c r="M394" t="s">
        <v>941</v>
      </c>
      <c r="N394">
        <v>162.76</v>
      </c>
      <c r="O394">
        <v>0.48</v>
      </c>
      <c r="P394">
        <v>8</v>
      </c>
      <c r="S394">
        <v>135185856</v>
      </c>
      <c r="T394">
        <v>6</v>
      </c>
      <c r="U394" t="s">
        <v>768</v>
      </c>
      <c r="V394" t="s">
        <v>769</v>
      </c>
      <c r="W394">
        <v>1776</v>
      </c>
      <c r="X394">
        <v>5.29</v>
      </c>
      <c r="Y394">
        <v>0</v>
      </c>
      <c r="AB394" s="217" t="s">
        <v>13</v>
      </c>
    </row>
    <row r="395" spans="1:28" ht="12.75">
      <c r="A395">
        <v>6</v>
      </c>
      <c r="B395" t="s">
        <v>934</v>
      </c>
      <c r="C395" t="s">
        <v>935</v>
      </c>
      <c r="D395">
        <v>330.77</v>
      </c>
      <c r="E395">
        <v>0.98</v>
      </c>
      <c r="F395">
        <v>22</v>
      </c>
      <c r="K395">
        <v>6</v>
      </c>
      <c r="L395" t="s">
        <v>942</v>
      </c>
      <c r="M395" t="s">
        <v>943</v>
      </c>
      <c r="N395">
        <v>492.79</v>
      </c>
      <c r="O395">
        <v>1.47</v>
      </c>
      <c r="P395">
        <v>8</v>
      </c>
      <c r="Q395" t="s">
        <v>13</v>
      </c>
      <c r="T395">
        <v>6</v>
      </c>
      <c r="U395" t="s">
        <v>770</v>
      </c>
      <c r="V395" t="s">
        <v>771</v>
      </c>
      <c r="W395">
        <v>505</v>
      </c>
      <c r="X395">
        <v>1.5</v>
      </c>
      <c r="Y395">
        <v>0</v>
      </c>
      <c r="AB395" s="217" t="s">
        <v>13</v>
      </c>
    </row>
    <row r="396" spans="1:28" ht="12.75">
      <c r="A396">
        <v>6</v>
      </c>
      <c r="B396" t="s">
        <v>936</v>
      </c>
      <c r="C396" t="s">
        <v>937</v>
      </c>
      <c r="D396">
        <v>198.46</v>
      </c>
      <c r="E396">
        <v>0.59</v>
      </c>
      <c r="F396">
        <v>22</v>
      </c>
      <c r="K396">
        <v>6</v>
      </c>
      <c r="L396" t="s">
        <v>944</v>
      </c>
      <c r="M396" t="s">
        <v>945</v>
      </c>
      <c r="N396">
        <v>352.64</v>
      </c>
      <c r="O396">
        <v>1.05</v>
      </c>
      <c r="P396">
        <v>8</v>
      </c>
      <c r="T396" s="9">
        <v>6</v>
      </c>
      <c r="U396" s="9" t="s">
        <v>772</v>
      </c>
      <c r="V396" s="9" t="s">
        <v>773</v>
      </c>
      <c r="W396" s="9">
        <v>429</v>
      </c>
      <c r="X396" s="9">
        <v>1.28</v>
      </c>
      <c r="Y396" s="9">
        <v>0</v>
      </c>
      <c r="AB396" s="217" t="s">
        <v>13</v>
      </c>
    </row>
    <row r="397" spans="1:28" ht="12.75">
      <c r="A397">
        <v>6</v>
      </c>
      <c r="B397" t="s">
        <v>938</v>
      </c>
      <c r="C397" t="s">
        <v>939</v>
      </c>
      <c r="D397">
        <v>261</v>
      </c>
      <c r="E397">
        <v>0.78</v>
      </c>
      <c r="F397" s="1">
        <v>22</v>
      </c>
      <c r="K397">
        <v>6</v>
      </c>
      <c r="L397" t="s">
        <v>946</v>
      </c>
      <c r="M397" t="s">
        <v>947</v>
      </c>
      <c r="N397">
        <v>79.57</v>
      </c>
      <c r="O397">
        <v>0.24</v>
      </c>
      <c r="P397">
        <v>8</v>
      </c>
      <c r="S397">
        <v>453654523</v>
      </c>
      <c r="T397" s="19">
        <v>6</v>
      </c>
      <c r="U397" s="19" t="s">
        <v>774</v>
      </c>
      <c r="V397" s="19" t="s">
        <v>775</v>
      </c>
      <c r="W397" s="19">
        <v>2342</v>
      </c>
      <c r="X397" s="19">
        <v>6.97</v>
      </c>
      <c r="Y397" s="19">
        <v>0</v>
      </c>
      <c r="AB397" s="217" t="s">
        <v>13</v>
      </c>
    </row>
    <row r="398" spans="1:28" ht="12.75">
      <c r="A398">
        <v>6</v>
      </c>
      <c r="B398" t="s">
        <v>940</v>
      </c>
      <c r="C398" t="s">
        <v>941</v>
      </c>
      <c r="D398">
        <v>162.76</v>
      </c>
      <c r="E398">
        <v>0.48</v>
      </c>
      <c r="F398">
        <v>8</v>
      </c>
      <c r="K398">
        <v>6</v>
      </c>
      <c r="L398" t="s">
        <v>948</v>
      </c>
      <c r="M398" t="s">
        <v>949</v>
      </c>
      <c r="N398">
        <v>119.35</v>
      </c>
      <c r="O398">
        <v>0.36</v>
      </c>
      <c r="P398">
        <v>8</v>
      </c>
      <c r="Q398" t="s">
        <v>13</v>
      </c>
      <c r="R398" t="s">
        <v>13</v>
      </c>
      <c r="T398">
        <v>6</v>
      </c>
      <c r="U398" t="s">
        <v>808</v>
      </c>
      <c r="V398" t="s">
        <v>809</v>
      </c>
      <c r="W398">
        <v>257.14</v>
      </c>
      <c r="X398">
        <v>0.77</v>
      </c>
      <c r="Y398">
        <v>0</v>
      </c>
      <c r="AA398">
        <v>123274236</v>
      </c>
      <c r="AB398" s="217">
        <f aca="true" t="shared" si="0" ref="AB398:AB408">AA398/1000000</f>
        <v>123.274236</v>
      </c>
    </row>
    <row r="399" spans="1:28" ht="12.75">
      <c r="A399">
        <v>6</v>
      </c>
      <c r="B399" t="s">
        <v>942</v>
      </c>
      <c r="C399" t="s">
        <v>943</v>
      </c>
      <c r="D399">
        <v>492.79</v>
      </c>
      <c r="E399">
        <v>1.47</v>
      </c>
      <c r="F399">
        <v>8</v>
      </c>
      <c r="K399">
        <v>6</v>
      </c>
      <c r="L399" t="s">
        <v>950</v>
      </c>
      <c r="M399" t="s">
        <v>951</v>
      </c>
      <c r="N399">
        <v>382.48</v>
      </c>
      <c r="O399">
        <v>1.14</v>
      </c>
      <c r="P399">
        <v>8</v>
      </c>
      <c r="Q399" t="s">
        <v>13</v>
      </c>
      <c r="R399" t="s">
        <v>13</v>
      </c>
      <c r="T399">
        <v>6</v>
      </c>
      <c r="U399" t="s">
        <v>810</v>
      </c>
      <c r="V399" t="s">
        <v>811</v>
      </c>
      <c r="W399">
        <v>1296.52</v>
      </c>
      <c r="X399">
        <v>3.86</v>
      </c>
      <c r="Y399">
        <v>0</v>
      </c>
      <c r="Z399" t="s">
        <v>1147</v>
      </c>
      <c r="AA399">
        <v>346526020</v>
      </c>
      <c r="AB399" s="217">
        <f t="shared" si="0"/>
        <v>346.52602</v>
      </c>
    </row>
    <row r="400" spans="1:28" ht="12.75">
      <c r="A400">
        <v>6</v>
      </c>
      <c r="B400" t="s">
        <v>944</v>
      </c>
      <c r="C400" t="s">
        <v>945</v>
      </c>
      <c r="D400">
        <v>352.64</v>
      </c>
      <c r="E400">
        <v>1.05</v>
      </c>
      <c r="F400">
        <v>8</v>
      </c>
      <c r="K400">
        <v>6</v>
      </c>
      <c r="L400" t="s">
        <v>952</v>
      </c>
      <c r="M400" t="s">
        <v>953</v>
      </c>
      <c r="N400">
        <v>382.48</v>
      </c>
      <c r="O400">
        <v>1.14</v>
      </c>
      <c r="P400">
        <v>8</v>
      </c>
      <c r="Q400" s="9" t="s">
        <v>13</v>
      </c>
      <c r="R400" s="9" t="s">
        <v>13</v>
      </c>
      <c r="S400" s="9"/>
      <c r="T400">
        <v>6</v>
      </c>
      <c r="U400" t="s">
        <v>814</v>
      </c>
      <c r="V400" t="s">
        <v>815</v>
      </c>
      <c r="W400">
        <v>124.11</v>
      </c>
      <c r="X400">
        <v>0.37</v>
      </c>
      <c r="Y400">
        <v>0</v>
      </c>
      <c r="Z400" t="s">
        <v>1147</v>
      </c>
      <c r="AA400">
        <v>10867429</v>
      </c>
      <c r="AB400" s="217">
        <f t="shared" si="0"/>
        <v>10.867429</v>
      </c>
    </row>
    <row r="401" spans="1:28" ht="12.75">
      <c r="A401">
        <v>6</v>
      </c>
      <c r="B401" t="s">
        <v>946</v>
      </c>
      <c r="C401" t="s">
        <v>947</v>
      </c>
      <c r="D401">
        <v>79.57</v>
      </c>
      <c r="E401">
        <v>0.24</v>
      </c>
      <c r="F401">
        <v>8</v>
      </c>
      <c r="K401">
        <v>6</v>
      </c>
      <c r="L401" t="s">
        <v>954</v>
      </c>
      <c r="M401" t="s">
        <v>955</v>
      </c>
      <c r="N401">
        <v>424.97</v>
      </c>
      <c r="O401">
        <v>1.27</v>
      </c>
      <c r="P401">
        <v>8</v>
      </c>
      <c r="Q401" s="9"/>
      <c r="R401" s="9"/>
      <c r="S401" s="9"/>
      <c r="T401">
        <v>6</v>
      </c>
      <c r="U401" t="s">
        <v>832</v>
      </c>
      <c r="V401" t="s">
        <v>833</v>
      </c>
      <c r="W401">
        <v>1637.56</v>
      </c>
      <c r="X401">
        <v>4.87</v>
      </c>
      <c r="Y401">
        <v>0</v>
      </c>
      <c r="AA401">
        <v>368815738</v>
      </c>
      <c r="AB401" s="217">
        <f t="shared" si="0"/>
        <v>368.815738</v>
      </c>
    </row>
    <row r="402" spans="1:28" ht="12.75">
      <c r="A402">
        <v>6</v>
      </c>
      <c r="B402" t="s">
        <v>948</v>
      </c>
      <c r="C402" t="s">
        <v>949</v>
      </c>
      <c r="D402">
        <v>119.35</v>
      </c>
      <c r="E402">
        <v>0.36</v>
      </c>
      <c r="F402">
        <v>8</v>
      </c>
      <c r="K402">
        <v>6</v>
      </c>
      <c r="L402" t="s">
        <v>956</v>
      </c>
      <c r="M402" t="s">
        <v>957</v>
      </c>
      <c r="N402">
        <v>509.97</v>
      </c>
      <c r="O402">
        <v>1.52</v>
      </c>
      <c r="P402">
        <v>8</v>
      </c>
      <c r="Q402" s="9"/>
      <c r="R402" s="9"/>
      <c r="S402" s="9"/>
      <c r="T402" s="19">
        <v>6</v>
      </c>
      <c r="U402" s="19" t="s">
        <v>834</v>
      </c>
      <c r="V402" s="19" t="s">
        <v>835</v>
      </c>
      <c r="W402" s="19">
        <v>1195.5</v>
      </c>
      <c r="X402" s="19">
        <v>3.56</v>
      </c>
      <c r="Y402" s="19">
        <v>0</v>
      </c>
      <c r="AA402">
        <v>220952943</v>
      </c>
      <c r="AB402" s="217">
        <f t="shared" si="0"/>
        <v>220.952943</v>
      </c>
    </row>
    <row r="403" spans="1:28" ht="12.75">
      <c r="A403">
        <v>6</v>
      </c>
      <c r="B403" t="s">
        <v>950</v>
      </c>
      <c r="C403" t="s">
        <v>951</v>
      </c>
      <c r="D403">
        <v>382.48</v>
      </c>
      <c r="E403">
        <v>1.14</v>
      </c>
      <c r="F403">
        <v>8</v>
      </c>
      <c r="K403">
        <v>6</v>
      </c>
      <c r="L403" t="s">
        <v>958</v>
      </c>
      <c r="M403" t="s">
        <v>959</v>
      </c>
      <c r="N403">
        <v>412.42</v>
      </c>
      <c r="O403">
        <v>1.23</v>
      </c>
      <c r="P403">
        <v>8</v>
      </c>
      <c r="Q403" s="9"/>
      <c r="R403" s="9" t="s">
        <v>13</v>
      </c>
      <c r="S403" s="9">
        <v>369870432</v>
      </c>
      <c r="T403">
        <v>6</v>
      </c>
      <c r="U403" t="s">
        <v>836</v>
      </c>
      <c r="V403" t="s">
        <v>837</v>
      </c>
      <c r="W403">
        <f>385.84*0.2</f>
        <v>77.168</v>
      </c>
      <c r="X403">
        <f>1.15*0.2</f>
        <v>0.22999999999999998</v>
      </c>
      <c r="Y403">
        <v>0</v>
      </c>
      <c r="Z403" t="s">
        <v>1144</v>
      </c>
      <c r="AA403">
        <v>77000000</v>
      </c>
      <c r="AB403" s="217">
        <f t="shared" si="0"/>
        <v>77</v>
      </c>
    </row>
    <row r="404" spans="1:28" ht="12.75">
      <c r="A404">
        <v>6</v>
      </c>
      <c r="B404" t="s">
        <v>952</v>
      </c>
      <c r="C404" t="s">
        <v>953</v>
      </c>
      <c r="D404">
        <v>382.48</v>
      </c>
      <c r="E404">
        <v>1.14</v>
      </c>
      <c r="F404">
        <v>8</v>
      </c>
      <c r="K404">
        <v>6</v>
      </c>
      <c r="L404" t="s">
        <v>960</v>
      </c>
      <c r="M404" t="s">
        <v>961</v>
      </c>
      <c r="N404">
        <v>1127.95</v>
      </c>
      <c r="O404">
        <v>3.36</v>
      </c>
      <c r="P404">
        <v>8</v>
      </c>
      <c r="Q404" s="9" t="s">
        <v>13</v>
      </c>
      <c r="R404" s="9" t="s">
        <v>13</v>
      </c>
      <c r="S404" s="9"/>
      <c r="T404" s="144">
        <v>6</v>
      </c>
      <c r="U404" s="144" t="s">
        <v>972</v>
      </c>
      <c r="V404" s="144" t="s">
        <v>973</v>
      </c>
      <c r="W404" s="144">
        <v>7088</v>
      </c>
      <c r="X404" s="144">
        <v>21.1</v>
      </c>
      <c r="Y404" s="144">
        <v>0</v>
      </c>
      <c r="AA404">
        <v>1401000000</v>
      </c>
      <c r="AB404" s="217">
        <f t="shared" si="0"/>
        <v>1401</v>
      </c>
    </row>
    <row r="405" spans="1:28" ht="12.75">
      <c r="A405">
        <v>6</v>
      </c>
      <c r="B405" t="s">
        <v>954</v>
      </c>
      <c r="C405" t="s">
        <v>955</v>
      </c>
      <c r="D405">
        <v>424.97</v>
      </c>
      <c r="E405">
        <v>1.27</v>
      </c>
      <c r="F405">
        <v>8</v>
      </c>
      <c r="K405">
        <v>6</v>
      </c>
      <c r="L405" t="s">
        <v>962</v>
      </c>
      <c r="M405" t="s">
        <v>963</v>
      </c>
      <c r="N405">
        <v>218.63</v>
      </c>
      <c r="O405">
        <v>0.65</v>
      </c>
      <c r="P405">
        <v>8</v>
      </c>
      <c r="Q405" s="9" t="s">
        <v>13</v>
      </c>
      <c r="R405" s="9" t="s">
        <v>13</v>
      </c>
      <c r="S405" s="9">
        <v>60259693</v>
      </c>
      <c r="T405">
        <v>6</v>
      </c>
      <c r="U405" t="s">
        <v>980</v>
      </c>
      <c r="V405" t="s">
        <v>981</v>
      </c>
      <c r="W405">
        <v>2579.7</v>
      </c>
      <c r="X405">
        <v>7.68</v>
      </c>
      <c r="Y405">
        <v>0</v>
      </c>
      <c r="AA405">
        <v>359141841</v>
      </c>
      <c r="AB405" s="217">
        <f t="shared" si="0"/>
        <v>359.141841</v>
      </c>
    </row>
    <row r="406" spans="1:28" ht="12.75">
      <c r="A406">
        <v>6</v>
      </c>
      <c r="B406" t="s">
        <v>956</v>
      </c>
      <c r="C406" t="s">
        <v>957</v>
      </c>
      <c r="D406">
        <v>509.97</v>
      </c>
      <c r="E406">
        <v>1.52</v>
      </c>
      <c r="F406">
        <v>8</v>
      </c>
      <c r="K406">
        <v>6</v>
      </c>
      <c r="L406" t="s">
        <v>964</v>
      </c>
      <c r="M406" t="s">
        <v>965</v>
      </c>
      <c r="N406">
        <v>1962.73</v>
      </c>
      <c r="O406">
        <v>5.84</v>
      </c>
      <c r="P406">
        <v>8</v>
      </c>
      <c r="S406">
        <v>431608933</v>
      </c>
      <c r="T406">
        <v>6</v>
      </c>
      <c r="U406" t="s">
        <v>984</v>
      </c>
      <c r="V406" t="s">
        <v>985</v>
      </c>
      <c r="W406">
        <v>1733.32</v>
      </c>
      <c r="X406">
        <v>5.16</v>
      </c>
      <c r="Y406">
        <v>0</v>
      </c>
      <c r="AA406">
        <f>385191888/2</f>
        <v>192595944</v>
      </c>
      <c r="AB406" s="217">
        <f t="shared" si="0"/>
        <v>192.595944</v>
      </c>
    </row>
    <row r="407" spans="1:28" ht="12.75">
      <c r="A407">
        <v>6</v>
      </c>
      <c r="B407" t="s">
        <v>958</v>
      </c>
      <c r="C407" t="s">
        <v>959</v>
      </c>
      <c r="D407">
        <v>412.42</v>
      </c>
      <c r="E407">
        <v>1.23</v>
      </c>
      <c r="F407">
        <v>8</v>
      </c>
      <c r="K407">
        <v>6</v>
      </c>
      <c r="L407" t="s">
        <v>974</v>
      </c>
      <c r="M407" t="s">
        <v>975</v>
      </c>
      <c r="N407">
        <v>343.36</v>
      </c>
      <c r="O407">
        <v>1.02</v>
      </c>
      <c r="P407">
        <v>8</v>
      </c>
      <c r="S407">
        <v>278727436</v>
      </c>
      <c r="T407" s="19">
        <v>6</v>
      </c>
      <c r="U407" s="19" t="s">
        <v>996</v>
      </c>
      <c r="V407" s="19" t="s">
        <v>997</v>
      </c>
      <c r="W407" s="19">
        <f>4581*0.9</f>
        <v>4122.900000000001</v>
      </c>
      <c r="X407" s="19">
        <f>13.64*0.9</f>
        <v>12.276000000000002</v>
      </c>
      <c r="Y407" s="19">
        <v>0</v>
      </c>
      <c r="Z407" s="19" t="s">
        <v>1144</v>
      </c>
      <c r="AA407">
        <f>(626051978+142581512)*0.9</f>
        <v>691770141</v>
      </c>
      <c r="AB407" s="217">
        <f t="shared" si="0"/>
        <v>691.770141</v>
      </c>
    </row>
    <row r="408" spans="1:28" ht="12.75">
      <c r="A408">
        <v>6</v>
      </c>
      <c r="B408" t="s">
        <v>960</v>
      </c>
      <c r="C408" t="s">
        <v>961</v>
      </c>
      <c r="D408">
        <v>1127.95</v>
      </c>
      <c r="E408">
        <v>3.36</v>
      </c>
      <c r="F408">
        <v>8</v>
      </c>
      <c r="K408">
        <v>6</v>
      </c>
      <c r="L408" t="s">
        <v>976</v>
      </c>
      <c r="M408" t="s">
        <v>977</v>
      </c>
      <c r="N408">
        <v>1077.13</v>
      </c>
      <c r="O408">
        <v>3.21</v>
      </c>
      <c r="P408">
        <v>8</v>
      </c>
      <c r="T408">
        <v>6</v>
      </c>
      <c r="U408" t="s">
        <v>998</v>
      </c>
      <c r="V408" t="s">
        <v>999</v>
      </c>
      <c r="W408">
        <v>351.65</v>
      </c>
      <c r="X408">
        <v>1.05</v>
      </c>
      <c r="Y408">
        <v>0</v>
      </c>
      <c r="AA408">
        <v>352962025</v>
      </c>
      <c r="AB408" s="217">
        <f t="shared" si="0"/>
        <v>352.962025</v>
      </c>
    </row>
    <row r="409" spans="1:28" ht="12.75">
      <c r="A409">
        <v>6</v>
      </c>
      <c r="B409" t="s">
        <v>962</v>
      </c>
      <c r="C409" t="s">
        <v>963</v>
      </c>
      <c r="D409">
        <v>218.63</v>
      </c>
      <c r="E409">
        <v>0.65</v>
      </c>
      <c r="F409">
        <v>8</v>
      </c>
      <c r="K409">
        <v>6</v>
      </c>
      <c r="L409" t="s">
        <v>978</v>
      </c>
      <c r="M409" t="s">
        <v>979</v>
      </c>
      <c r="N409">
        <v>224.51</v>
      </c>
      <c r="O409">
        <v>0.67</v>
      </c>
      <c r="P409">
        <v>8</v>
      </c>
      <c r="T409">
        <v>6</v>
      </c>
      <c r="U409" t="s">
        <v>1000</v>
      </c>
      <c r="V409" t="s">
        <v>1001</v>
      </c>
      <c r="W409">
        <v>1224.7</v>
      </c>
      <c r="X409">
        <v>3.65</v>
      </c>
      <c r="Y409">
        <v>0</v>
      </c>
      <c r="AB409" s="217" t="s">
        <v>13</v>
      </c>
    </row>
    <row r="410" spans="1:28" ht="12.75">
      <c r="A410">
        <v>6</v>
      </c>
      <c r="B410" t="s">
        <v>964</v>
      </c>
      <c r="C410" t="s">
        <v>965</v>
      </c>
      <c r="D410">
        <v>1962.73</v>
      </c>
      <c r="E410">
        <v>5.84</v>
      </c>
      <c r="F410">
        <v>8</v>
      </c>
      <c r="K410">
        <v>6</v>
      </c>
      <c r="L410" t="s">
        <v>1033</v>
      </c>
      <c r="M410" t="s">
        <v>1034</v>
      </c>
      <c r="N410">
        <v>1000.38</v>
      </c>
      <c r="O410">
        <v>2.98</v>
      </c>
      <c r="P410">
        <v>8</v>
      </c>
      <c r="S410">
        <v>359904023</v>
      </c>
      <c r="T410" s="19">
        <v>6</v>
      </c>
      <c r="U410" s="19" t="s">
        <v>1002</v>
      </c>
      <c r="V410" s="19" t="s">
        <v>1003</v>
      </c>
      <c r="W410" s="19">
        <v>351.65</v>
      </c>
      <c r="X410" s="19">
        <v>1.05</v>
      </c>
      <c r="Y410" s="19">
        <v>0</v>
      </c>
      <c r="AB410" s="217" t="s">
        <v>13</v>
      </c>
    </row>
    <row r="411" spans="1:28" ht="12.75">
      <c r="A411">
        <v>6</v>
      </c>
      <c r="B411" t="s">
        <v>966</v>
      </c>
      <c r="C411" t="s">
        <v>967</v>
      </c>
      <c r="D411">
        <v>118.27</v>
      </c>
      <c r="E411">
        <v>0.35</v>
      </c>
      <c r="F411">
        <v>22</v>
      </c>
      <c r="K411" s="19">
        <v>6</v>
      </c>
      <c r="L411" s="19" t="s">
        <v>1035</v>
      </c>
      <c r="M411" s="19" t="s">
        <v>1036</v>
      </c>
      <c r="N411" s="19">
        <v>995.62</v>
      </c>
      <c r="O411" s="19">
        <v>2.96</v>
      </c>
      <c r="P411" s="19">
        <v>8</v>
      </c>
      <c r="Q411" s="19">
        <f>SUM(N385:N411)</f>
        <v>21081.699999999997</v>
      </c>
      <c r="R411" s="19">
        <f>SUM(O385:O411)</f>
        <v>62.78</v>
      </c>
      <c r="S411" s="9"/>
      <c r="T411">
        <v>6</v>
      </c>
      <c r="U411" t="s">
        <v>1107</v>
      </c>
      <c r="V411" t="s">
        <v>1108</v>
      </c>
      <c r="W411">
        <v>2125.05</v>
      </c>
      <c r="X411">
        <v>6.33</v>
      </c>
      <c r="Y411">
        <v>0</v>
      </c>
      <c r="AA411">
        <v>1053220408</v>
      </c>
      <c r="AB411" s="217">
        <f>AA411/1000000</f>
        <v>1053.220408</v>
      </c>
    </row>
    <row r="412" spans="1:28" ht="12.75">
      <c r="A412">
        <v>6</v>
      </c>
      <c r="B412" t="s">
        <v>968</v>
      </c>
      <c r="C412" t="s">
        <v>969</v>
      </c>
      <c r="D412">
        <v>457.5</v>
      </c>
      <c r="E412">
        <v>1.36</v>
      </c>
      <c r="F412" s="1">
        <v>22</v>
      </c>
      <c r="S412">
        <f>SUM(S385:S411)</f>
        <v>4383024097</v>
      </c>
      <c r="T412">
        <v>6</v>
      </c>
      <c r="U412" t="s">
        <v>1109</v>
      </c>
      <c r="V412" t="s">
        <v>1110</v>
      </c>
      <c r="W412">
        <v>2951.95</v>
      </c>
      <c r="X412">
        <v>8.79</v>
      </c>
      <c r="Y412">
        <v>0</v>
      </c>
      <c r="AB412" s="217" t="s">
        <v>13</v>
      </c>
    </row>
    <row r="413" spans="1:28" ht="12.75">
      <c r="A413">
        <v>6</v>
      </c>
      <c r="B413" t="s">
        <v>970</v>
      </c>
      <c r="C413" t="s">
        <v>971</v>
      </c>
      <c r="D413">
        <v>152.5</v>
      </c>
      <c r="E413">
        <v>0.45</v>
      </c>
      <c r="F413">
        <v>22</v>
      </c>
      <c r="K413" s="70" t="s">
        <v>1133</v>
      </c>
      <c r="L413" s="49"/>
      <c r="M413" s="134"/>
      <c r="N413" s="136">
        <v>22</v>
      </c>
      <c r="O413" s="165">
        <f>Q383</f>
        <v>136889.82200000004</v>
      </c>
      <c r="P413" s="168">
        <f aca="true" t="shared" si="1" ref="P413:P420">O413/$O$420*1000</f>
        <v>407.51590821940323</v>
      </c>
      <c r="T413">
        <v>6</v>
      </c>
      <c r="U413" t="s">
        <v>1111</v>
      </c>
      <c r="V413" t="s">
        <v>1112</v>
      </c>
      <c r="W413">
        <v>378.34</v>
      </c>
      <c r="X413">
        <v>1.13</v>
      </c>
      <c r="Y413">
        <v>0</v>
      </c>
      <c r="Z413" t="s">
        <v>1147</v>
      </c>
      <c r="AB413" s="217" t="s">
        <v>13</v>
      </c>
    </row>
    <row r="414" spans="1:28" ht="12.75">
      <c r="A414">
        <v>6</v>
      </c>
      <c r="B414" t="s">
        <v>972</v>
      </c>
      <c r="C414" t="s">
        <v>973</v>
      </c>
      <c r="D414">
        <v>7088</v>
      </c>
      <c r="E414">
        <v>21.1</v>
      </c>
      <c r="F414">
        <v>0</v>
      </c>
      <c r="K414" s="99" t="s">
        <v>1134</v>
      </c>
      <c r="L414" s="9"/>
      <c r="M414" s="135"/>
      <c r="N414" s="137">
        <v>22</v>
      </c>
      <c r="O414" s="159">
        <f>Z360</f>
        <v>28152.58</v>
      </c>
      <c r="P414" s="160">
        <f t="shared" si="1"/>
        <v>83.80918347179534</v>
      </c>
      <c r="T414">
        <v>6</v>
      </c>
      <c r="U414" t="s">
        <v>1113</v>
      </c>
      <c r="V414" t="s">
        <v>1114</v>
      </c>
      <c r="W414">
        <v>160.44</v>
      </c>
      <c r="X414">
        <v>0.48</v>
      </c>
      <c r="Y414">
        <v>0</v>
      </c>
      <c r="Z414" t="s">
        <v>1147</v>
      </c>
      <c r="AB414" s="217" t="s">
        <v>13</v>
      </c>
    </row>
    <row r="415" spans="1:28" ht="12.75">
      <c r="A415">
        <v>6</v>
      </c>
      <c r="B415" t="s">
        <v>974</v>
      </c>
      <c r="C415" t="s">
        <v>975</v>
      </c>
      <c r="D415">
        <v>343.36</v>
      </c>
      <c r="E415">
        <v>1.02</v>
      </c>
      <c r="F415">
        <v>8</v>
      </c>
      <c r="K415" s="99" t="s">
        <v>1135</v>
      </c>
      <c r="L415" s="9"/>
      <c r="M415" s="135"/>
      <c r="N415" s="137">
        <v>22</v>
      </c>
      <c r="O415" s="159">
        <f>Z376</f>
        <v>16233.39</v>
      </c>
      <c r="P415" s="160">
        <f t="shared" si="1"/>
        <v>48.32619819850285</v>
      </c>
      <c r="T415">
        <v>6</v>
      </c>
      <c r="U415" t="s">
        <v>1115</v>
      </c>
      <c r="V415" t="s">
        <v>1116</v>
      </c>
      <c r="W415">
        <v>1076.08</v>
      </c>
      <c r="X415">
        <v>3.2</v>
      </c>
      <c r="Y415">
        <v>0</v>
      </c>
      <c r="Z415" t="s">
        <v>1147</v>
      </c>
      <c r="AB415" s="217" t="s">
        <v>13</v>
      </c>
    </row>
    <row r="416" spans="1:28" ht="12.75">
      <c r="A416">
        <v>6</v>
      </c>
      <c r="B416" t="s">
        <v>976</v>
      </c>
      <c r="C416" t="s">
        <v>977</v>
      </c>
      <c r="D416">
        <v>1077.13</v>
      </c>
      <c r="E416">
        <v>3.21</v>
      </c>
      <c r="F416">
        <v>8</v>
      </c>
      <c r="K416" s="83" t="s">
        <v>1136</v>
      </c>
      <c r="L416" s="19"/>
      <c r="M416" s="85"/>
      <c r="N416" s="138">
        <v>22</v>
      </c>
      <c r="O416" s="166">
        <f>Z382</f>
        <v>2706.01</v>
      </c>
      <c r="P416" s="161">
        <f t="shared" si="1"/>
        <v>8.055691114864532</v>
      </c>
      <c r="T416">
        <v>6</v>
      </c>
      <c r="U416" t="s">
        <v>1117</v>
      </c>
      <c r="V416" t="s">
        <v>1118</v>
      </c>
      <c r="W416">
        <v>80.44</v>
      </c>
      <c r="X416">
        <v>0.24</v>
      </c>
      <c r="Y416">
        <v>0</v>
      </c>
      <c r="Z416" t="s">
        <v>1147</v>
      </c>
      <c r="AB416" s="217" t="s">
        <v>13</v>
      </c>
    </row>
    <row r="417" spans="1:28" ht="12.75">
      <c r="A417">
        <v>6</v>
      </c>
      <c r="B417" t="s">
        <v>978</v>
      </c>
      <c r="C417" t="s">
        <v>979</v>
      </c>
      <c r="D417">
        <v>224.51</v>
      </c>
      <c r="E417">
        <v>0.67</v>
      </c>
      <c r="F417">
        <v>8</v>
      </c>
      <c r="K417" s="99" t="s">
        <v>32</v>
      </c>
      <c r="L417" s="9"/>
      <c r="M417" s="135"/>
      <c r="N417" s="137">
        <v>17</v>
      </c>
      <c r="O417" s="159">
        <f>Q157</f>
        <v>46414.02000000001</v>
      </c>
      <c r="P417" s="168">
        <f t="shared" si="1"/>
        <v>138.17281108316106</v>
      </c>
      <c r="Q417" s="148">
        <f>SUM(O413:O416)</f>
        <v>183981.80200000008</v>
      </c>
      <c r="T417">
        <v>6</v>
      </c>
      <c r="U417" t="s">
        <v>1119</v>
      </c>
      <c r="V417" t="s">
        <v>1120</v>
      </c>
      <c r="W417">
        <v>1370.25</v>
      </c>
      <c r="X417">
        <v>4.08</v>
      </c>
      <c r="Y417">
        <v>0</v>
      </c>
      <c r="AA417">
        <v>1412386733</v>
      </c>
      <c r="AB417" s="217">
        <f>AA417/1000000</f>
        <v>1412.386733</v>
      </c>
    </row>
    <row r="418" spans="1:28" ht="12.75">
      <c r="A418">
        <v>6</v>
      </c>
      <c r="B418" t="s">
        <v>980</v>
      </c>
      <c r="C418" t="s">
        <v>981</v>
      </c>
      <c r="D418">
        <v>2579.7</v>
      </c>
      <c r="E418">
        <v>7.68</v>
      </c>
      <c r="F418">
        <v>8</v>
      </c>
      <c r="K418" s="146">
        <v>8</v>
      </c>
      <c r="L418" s="9"/>
      <c r="M418" s="135"/>
      <c r="N418" s="137">
        <v>8</v>
      </c>
      <c r="O418" s="159">
        <f>Q411</f>
        <v>21081.699999999997</v>
      </c>
      <c r="P418" s="160">
        <f t="shared" si="1"/>
        <v>62.75943672648643</v>
      </c>
      <c r="Q418" s="148">
        <f>SUM(P413:P416)</f>
        <v>547.7069810045659</v>
      </c>
      <c r="T418">
        <v>6</v>
      </c>
      <c r="U418" t="s">
        <v>1121</v>
      </c>
      <c r="V418" t="s">
        <v>1122</v>
      </c>
      <c r="W418">
        <v>685.13</v>
      </c>
      <c r="X418">
        <v>2.04</v>
      </c>
      <c r="Y418">
        <v>0</v>
      </c>
      <c r="AB418" s="217" t="s">
        <v>13</v>
      </c>
    </row>
    <row r="419" spans="1:28" ht="12.75">
      <c r="A419">
        <v>6</v>
      </c>
      <c r="B419" t="s">
        <v>982</v>
      </c>
      <c r="C419" t="s">
        <v>983</v>
      </c>
      <c r="D419">
        <v>466.66</v>
      </c>
      <c r="E419">
        <v>1.39</v>
      </c>
      <c r="F419">
        <v>22</v>
      </c>
      <c r="K419" s="147">
        <v>0</v>
      </c>
      <c r="L419" s="19"/>
      <c r="M419" s="85"/>
      <c r="N419" s="137">
        <v>0</v>
      </c>
      <c r="O419" s="159">
        <f>Z422</f>
        <v>84435.30799999998</v>
      </c>
      <c r="P419" s="160">
        <f t="shared" si="1"/>
        <v>251.36077118578638</v>
      </c>
      <c r="Q419" t="s">
        <v>13</v>
      </c>
      <c r="T419">
        <v>6</v>
      </c>
      <c r="U419" t="s">
        <v>1123</v>
      </c>
      <c r="V419" t="s">
        <v>1124</v>
      </c>
      <c r="W419">
        <v>1076.63</v>
      </c>
      <c r="X419">
        <v>3.21</v>
      </c>
      <c r="Y419">
        <v>0</v>
      </c>
      <c r="Z419" s="9" t="s">
        <v>13</v>
      </c>
      <c r="AA419" s="9" t="s">
        <v>13</v>
      </c>
      <c r="AB419" s="217" t="s">
        <v>13</v>
      </c>
    </row>
    <row r="420" spans="1:28" ht="12.75">
      <c r="A420">
        <v>6</v>
      </c>
      <c r="B420" t="s">
        <v>984</v>
      </c>
      <c r="C420" t="s">
        <v>985</v>
      </c>
      <c r="D420">
        <v>1733.32</v>
      </c>
      <c r="E420">
        <v>5.16</v>
      </c>
      <c r="F420">
        <v>8</v>
      </c>
      <c r="K420" s="121" t="s">
        <v>1137</v>
      </c>
      <c r="L420" s="144"/>
      <c r="M420" s="145"/>
      <c r="N420" s="139"/>
      <c r="O420" s="167">
        <f>SUM(O413:O419)</f>
        <v>335912.8300000001</v>
      </c>
      <c r="P420" s="169">
        <f t="shared" si="1"/>
        <v>1000</v>
      </c>
      <c r="T420">
        <v>6</v>
      </c>
      <c r="U420" t="s">
        <v>1125</v>
      </c>
      <c r="V420" t="s">
        <v>1126</v>
      </c>
      <c r="W420">
        <v>1271.25</v>
      </c>
      <c r="X420">
        <v>3.78</v>
      </c>
      <c r="Y420">
        <v>0</v>
      </c>
      <c r="Z420" s="9" t="s">
        <v>13</v>
      </c>
      <c r="AA420" s="9" t="s">
        <v>13</v>
      </c>
      <c r="AB420" s="217" t="s">
        <v>13</v>
      </c>
    </row>
    <row r="421" spans="1:28" ht="12.75">
      <c r="A421">
        <v>6</v>
      </c>
      <c r="B421" t="s">
        <v>986</v>
      </c>
      <c r="C421" t="s">
        <v>987</v>
      </c>
      <c r="D421">
        <v>362.32</v>
      </c>
      <c r="E421">
        <v>1.08</v>
      </c>
      <c r="F421">
        <v>22</v>
      </c>
      <c r="G421" t="s">
        <v>13</v>
      </c>
      <c r="J421" t="s">
        <v>1148</v>
      </c>
      <c r="T421">
        <v>6</v>
      </c>
      <c r="U421" t="s">
        <v>1127</v>
      </c>
      <c r="V421" t="s">
        <v>1128</v>
      </c>
      <c r="W421">
        <v>502.87</v>
      </c>
      <c r="X421">
        <v>1.5</v>
      </c>
      <c r="Y421">
        <v>0</v>
      </c>
      <c r="Z421" t="s">
        <v>13</v>
      </c>
      <c r="AB421" s="217" t="s">
        <v>13</v>
      </c>
    </row>
    <row r="422" spans="1:28" ht="12.75">
      <c r="A422">
        <v>6</v>
      </c>
      <c r="B422" t="s">
        <v>988</v>
      </c>
      <c r="C422" t="s">
        <v>989</v>
      </c>
      <c r="D422">
        <v>132.34</v>
      </c>
      <c r="E422">
        <v>0.39</v>
      </c>
      <c r="F422">
        <v>22</v>
      </c>
      <c r="T422" s="19">
        <v>6</v>
      </c>
      <c r="U422" s="19" t="s">
        <v>1131</v>
      </c>
      <c r="V422" s="19" t="s">
        <v>1132</v>
      </c>
      <c r="W422" s="19">
        <v>1198.48</v>
      </c>
      <c r="X422" s="19">
        <v>3.57</v>
      </c>
      <c r="Y422" s="19">
        <v>0</v>
      </c>
      <c r="Z422" s="19">
        <f>SUM(W384:W422)</f>
        <v>84435.30799999998</v>
      </c>
      <c r="AA422" s="19">
        <v>303800000</v>
      </c>
      <c r="AB422" s="217">
        <f>AA422/1000000</f>
        <v>303.8</v>
      </c>
    </row>
    <row r="423" spans="1:27" ht="12.75">
      <c r="A423">
        <v>6</v>
      </c>
      <c r="B423" t="s">
        <v>990</v>
      </c>
      <c r="C423" t="s">
        <v>991</v>
      </c>
      <c r="D423">
        <v>314.66</v>
      </c>
      <c r="E423">
        <v>0.94</v>
      </c>
      <c r="F423">
        <v>22</v>
      </c>
      <c r="AA423">
        <f>SUM(AA384:AA422)/1000000</f>
        <v>20328.647671900002</v>
      </c>
    </row>
    <row r="424" spans="1:9" ht="12.75">
      <c r="A424">
        <v>6</v>
      </c>
      <c r="B424" t="s">
        <v>992</v>
      </c>
      <c r="C424" t="s">
        <v>993</v>
      </c>
      <c r="D424">
        <v>186.26</v>
      </c>
      <c r="E424">
        <v>0.55</v>
      </c>
      <c r="F424">
        <v>22</v>
      </c>
      <c r="G424">
        <v>7088</v>
      </c>
      <c r="H424">
        <v>21.1</v>
      </c>
      <c r="I424">
        <v>0</v>
      </c>
    </row>
    <row r="425" spans="1:9" ht="12.75">
      <c r="A425">
        <v>6</v>
      </c>
      <c r="B425" t="s">
        <v>994</v>
      </c>
      <c r="C425" t="s">
        <v>995</v>
      </c>
      <c r="D425">
        <v>112.74</v>
      </c>
      <c r="E425">
        <v>0.34</v>
      </c>
      <c r="F425">
        <v>22</v>
      </c>
      <c r="G425">
        <v>12586.75</v>
      </c>
      <c r="H425">
        <v>37.47</v>
      </c>
      <c r="I425">
        <v>8</v>
      </c>
    </row>
    <row r="426" spans="1:9" ht="12.75">
      <c r="A426" s="19">
        <v>6</v>
      </c>
      <c r="B426" s="19" t="s">
        <v>996</v>
      </c>
      <c r="C426" s="19" t="s">
        <v>997</v>
      </c>
      <c r="D426" s="19">
        <v>4581</v>
      </c>
      <c r="E426" s="19">
        <v>13.64</v>
      </c>
      <c r="F426" s="19">
        <v>22</v>
      </c>
      <c r="G426" s="19">
        <v>21981.25</v>
      </c>
      <c r="H426" s="19">
        <v>65.44</v>
      </c>
      <c r="I426" s="19">
        <v>22</v>
      </c>
    </row>
    <row r="427" spans="1:7" ht="12.75">
      <c r="A427">
        <v>6</v>
      </c>
      <c r="B427" t="s">
        <v>998</v>
      </c>
      <c r="C427" t="s">
        <v>999</v>
      </c>
      <c r="D427">
        <v>351.65</v>
      </c>
      <c r="E427">
        <v>1.05</v>
      </c>
      <c r="F427">
        <v>0</v>
      </c>
      <c r="G427" t="s">
        <v>13</v>
      </c>
    </row>
    <row r="428" spans="1:6" ht="12.75">
      <c r="A428">
        <v>6</v>
      </c>
      <c r="B428" t="s">
        <v>1000</v>
      </c>
      <c r="C428" t="s">
        <v>1001</v>
      </c>
      <c r="D428">
        <v>1224.7</v>
      </c>
      <c r="E428">
        <v>3.65</v>
      </c>
      <c r="F428">
        <v>0</v>
      </c>
    </row>
    <row r="429" spans="1:9" ht="12.75">
      <c r="A429" s="19">
        <v>6</v>
      </c>
      <c r="B429" s="19" t="s">
        <v>1002</v>
      </c>
      <c r="C429" s="19" t="s">
        <v>1003</v>
      </c>
      <c r="D429" s="19">
        <v>351.65</v>
      </c>
      <c r="E429" s="19">
        <v>1.05</v>
      </c>
      <c r="F429" s="19">
        <v>0</v>
      </c>
      <c r="G429" s="19">
        <v>1928</v>
      </c>
      <c r="H429" s="19">
        <v>5.74</v>
      </c>
      <c r="I429" s="19">
        <v>0</v>
      </c>
    </row>
    <row r="430" spans="1:6" ht="12.75">
      <c r="A430">
        <v>6</v>
      </c>
      <c r="B430" t="s">
        <v>1004</v>
      </c>
      <c r="C430" t="s">
        <v>1005</v>
      </c>
      <c r="D430">
        <v>1194.81</v>
      </c>
      <c r="E430">
        <v>3.56</v>
      </c>
      <c r="F430" s="1">
        <v>22</v>
      </c>
    </row>
    <row r="431" spans="1:6" ht="12.75">
      <c r="A431">
        <v>6</v>
      </c>
      <c r="B431" t="s">
        <v>1006</v>
      </c>
      <c r="C431" t="s">
        <v>1007</v>
      </c>
      <c r="D431">
        <v>1194.81</v>
      </c>
      <c r="E431">
        <v>3.56</v>
      </c>
      <c r="F431" s="1">
        <v>22</v>
      </c>
    </row>
    <row r="432" spans="1:6" ht="12.75">
      <c r="A432">
        <v>6</v>
      </c>
      <c r="B432" t="s">
        <v>1008</v>
      </c>
      <c r="C432" t="s">
        <v>1009</v>
      </c>
      <c r="D432">
        <v>2105.15</v>
      </c>
      <c r="E432">
        <v>6.27</v>
      </c>
      <c r="F432" s="1">
        <v>22</v>
      </c>
    </row>
    <row r="433" spans="1:6" ht="12.75">
      <c r="A433">
        <v>6</v>
      </c>
      <c r="B433" t="s">
        <v>1010</v>
      </c>
      <c r="C433" t="s">
        <v>1011</v>
      </c>
      <c r="D433">
        <v>443.79</v>
      </c>
      <c r="E433">
        <v>1.32</v>
      </c>
      <c r="F433" s="1">
        <v>22</v>
      </c>
    </row>
    <row r="434" spans="1:6" ht="12.75">
      <c r="A434">
        <v>6</v>
      </c>
      <c r="B434" t="s">
        <v>1012</v>
      </c>
      <c r="C434" t="s">
        <v>1013</v>
      </c>
      <c r="D434">
        <v>599.3</v>
      </c>
      <c r="E434">
        <v>1.78</v>
      </c>
      <c r="F434" s="1">
        <v>22</v>
      </c>
    </row>
    <row r="435" spans="1:6" ht="12.75">
      <c r="A435">
        <v>6</v>
      </c>
      <c r="B435" t="s">
        <v>1014</v>
      </c>
      <c r="C435" t="s">
        <v>182</v>
      </c>
      <c r="D435">
        <v>1769.46</v>
      </c>
      <c r="E435">
        <v>5.27</v>
      </c>
      <c r="F435" s="1">
        <v>22</v>
      </c>
    </row>
    <row r="436" spans="1:6" ht="12.75">
      <c r="A436">
        <v>6</v>
      </c>
      <c r="B436" t="s">
        <v>1015</v>
      </c>
      <c r="C436" t="s">
        <v>1016</v>
      </c>
      <c r="D436">
        <v>7198.6</v>
      </c>
      <c r="E436">
        <v>21.43</v>
      </c>
      <c r="F436" s="1">
        <v>22</v>
      </c>
    </row>
    <row r="437" spans="1:6" ht="12.75">
      <c r="A437">
        <v>6</v>
      </c>
      <c r="B437" t="s">
        <v>1017</v>
      </c>
      <c r="C437" t="s">
        <v>1018</v>
      </c>
      <c r="D437">
        <v>1305.76</v>
      </c>
      <c r="E437">
        <v>3.89</v>
      </c>
      <c r="F437" s="1">
        <v>22</v>
      </c>
    </row>
    <row r="438" spans="1:6" ht="12.75">
      <c r="A438">
        <v>6</v>
      </c>
      <c r="B438" t="s">
        <v>1019</v>
      </c>
      <c r="C438" t="s">
        <v>1020</v>
      </c>
      <c r="D438">
        <v>250.34</v>
      </c>
      <c r="E438">
        <v>0.75</v>
      </c>
      <c r="F438" s="1">
        <v>22</v>
      </c>
    </row>
    <row r="439" spans="1:6" ht="12.75">
      <c r="A439">
        <v>6</v>
      </c>
      <c r="B439" t="s">
        <v>1021</v>
      </c>
      <c r="C439" t="s">
        <v>1022</v>
      </c>
      <c r="D439">
        <v>497.84</v>
      </c>
      <c r="E439">
        <v>1.48</v>
      </c>
      <c r="F439" s="1">
        <v>22</v>
      </c>
    </row>
    <row r="440" spans="1:6" ht="12.75">
      <c r="A440">
        <v>6</v>
      </c>
      <c r="B440" t="s">
        <v>1023</v>
      </c>
      <c r="C440" t="s">
        <v>1024</v>
      </c>
      <c r="D440">
        <v>256.03</v>
      </c>
      <c r="E440">
        <v>0.76</v>
      </c>
      <c r="F440" s="1">
        <v>22</v>
      </c>
    </row>
    <row r="441" spans="1:7" ht="12.75">
      <c r="A441">
        <v>6</v>
      </c>
      <c r="B441" t="s">
        <v>1025</v>
      </c>
      <c r="C441" t="s">
        <v>1026</v>
      </c>
      <c r="D441">
        <v>574.65</v>
      </c>
      <c r="E441">
        <v>1.71</v>
      </c>
      <c r="F441" s="1">
        <v>22</v>
      </c>
      <c r="G441" t="s">
        <v>13</v>
      </c>
    </row>
    <row r="442" spans="1:6" ht="12.75">
      <c r="A442">
        <v>6</v>
      </c>
      <c r="B442" t="s">
        <v>1027</v>
      </c>
      <c r="C442" t="s">
        <v>1028</v>
      </c>
      <c r="D442">
        <v>1337.05</v>
      </c>
      <c r="E442">
        <v>3.98</v>
      </c>
      <c r="F442" s="1">
        <v>22</v>
      </c>
    </row>
    <row r="443" spans="1:6" ht="12.75">
      <c r="A443">
        <v>6</v>
      </c>
      <c r="B443" t="s">
        <v>1029</v>
      </c>
      <c r="C443" t="s">
        <v>1030</v>
      </c>
      <c r="D443">
        <v>762.4</v>
      </c>
      <c r="E443">
        <v>2.27</v>
      </c>
      <c r="F443" s="1">
        <v>22</v>
      </c>
    </row>
    <row r="444" spans="1:6" ht="12.75">
      <c r="A444">
        <v>6</v>
      </c>
      <c r="B444" t="s">
        <v>1031</v>
      </c>
      <c r="C444" t="s">
        <v>1032</v>
      </c>
      <c r="D444">
        <v>3942</v>
      </c>
      <c r="E444">
        <v>11.74</v>
      </c>
      <c r="F444" s="1">
        <v>22</v>
      </c>
    </row>
    <row r="445" spans="1:9" ht="12.75">
      <c r="A445">
        <v>6</v>
      </c>
      <c r="B445" t="s">
        <v>1033</v>
      </c>
      <c r="C445" t="s">
        <v>1034</v>
      </c>
      <c r="D445">
        <v>1000.38</v>
      </c>
      <c r="E445">
        <v>2.98</v>
      </c>
      <c r="F445">
        <v>8</v>
      </c>
      <c r="G445">
        <v>1996</v>
      </c>
      <c r="H445">
        <v>5.94</v>
      </c>
      <c r="I445">
        <v>8</v>
      </c>
    </row>
    <row r="446" spans="1:9" ht="12.75">
      <c r="A446" s="19">
        <v>6</v>
      </c>
      <c r="B446" s="19" t="s">
        <v>1035</v>
      </c>
      <c r="C446" s="19" t="s">
        <v>1036</v>
      </c>
      <c r="D446" s="19">
        <v>995.62</v>
      </c>
      <c r="E446" s="19">
        <v>2.96</v>
      </c>
      <c r="F446" s="19">
        <v>8</v>
      </c>
      <c r="G446" s="19">
        <v>23432</v>
      </c>
      <c r="H446" s="19">
        <v>69.76</v>
      </c>
      <c r="I446" s="19">
        <v>22</v>
      </c>
    </row>
    <row r="447" spans="1:7" ht="12.75">
      <c r="A447">
        <v>6</v>
      </c>
      <c r="B447" t="s">
        <v>1037</v>
      </c>
      <c r="C447" t="s">
        <v>1038</v>
      </c>
      <c r="D447">
        <v>735.4</v>
      </c>
      <c r="E447">
        <v>2.19</v>
      </c>
      <c r="F447" s="1">
        <v>22</v>
      </c>
      <c r="G447" t="s">
        <v>13</v>
      </c>
    </row>
    <row r="448" spans="1:6" ht="12.75">
      <c r="A448">
        <v>6</v>
      </c>
      <c r="B448" t="s">
        <v>1039</v>
      </c>
      <c r="C448" t="s">
        <v>1040</v>
      </c>
      <c r="D448">
        <v>1097.26</v>
      </c>
      <c r="E448">
        <v>3.27</v>
      </c>
      <c r="F448" s="1">
        <v>22</v>
      </c>
    </row>
    <row r="449" spans="1:6" ht="12.75">
      <c r="A449">
        <v>6</v>
      </c>
      <c r="B449" t="s">
        <v>1041</v>
      </c>
      <c r="C449" t="s">
        <v>1042</v>
      </c>
      <c r="D449">
        <v>548.63</v>
      </c>
      <c r="E449">
        <v>1.63</v>
      </c>
      <c r="F449" s="1">
        <v>22</v>
      </c>
    </row>
    <row r="450" spans="1:6" ht="12.75">
      <c r="A450">
        <v>6</v>
      </c>
      <c r="B450" t="s">
        <v>1043</v>
      </c>
      <c r="C450" t="s">
        <v>1044</v>
      </c>
      <c r="D450">
        <v>324.72</v>
      </c>
      <c r="E450">
        <v>0.97</v>
      </c>
      <c r="F450" s="1">
        <v>22</v>
      </c>
    </row>
    <row r="451" spans="1:6" ht="12.75">
      <c r="A451">
        <v>6</v>
      </c>
      <c r="B451" t="s">
        <v>1045</v>
      </c>
      <c r="C451" t="s">
        <v>1046</v>
      </c>
      <c r="D451">
        <v>62.67</v>
      </c>
      <c r="E451">
        <v>0.19</v>
      </c>
      <c r="F451">
        <v>22</v>
      </c>
    </row>
    <row r="452" spans="1:6" ht="12.75">
      <c r="A452">
        <v>6</v>
      </c>
      <c r="B452" t="s">
        <v>1047</v>
      </c>
      <c r="C452" t="s">
        <v>1048</v>
      </c>
      <c r="D452">
        <v>62.67</v>
      </c>
      <c r="E452">
        <v>0.19</v>
      </c>
      <c r="F452">
        <v>22</v>
      </c>
    </row>
    <row r="453" spans="1:6" ht="12.75">
      <c r="A453">
        <v>6</v>
      </c>
      <c r="B453" t="s">
        <v>1049</v>
      </c>
      <c r="C453" t="s">
        <v>1050</v>
      </c>
      <c r="D453">
        <v>62.67</v>
      </c>
      <c r="E453">
        <v>0.19</v>
      </c>
      <c r="F453">
        <v>22</v>
      </c>
    </row>
    <row r="454" spans="1:6" ht="12.75">
      <c r="A454">
        <v>6</v>
      </c>
      <c r="B454" t="s">
        <v>1051</v>
      </c>
      <c r="C454" t="s">
        <v>1052</v>
      </c>
      <c r="D454">
        <v>149.82</v>
      </c>
      <c r="E454">
        <v>0.45</v>
      </c>
      <c r="F454">
        <v>22</v>
      </c>
    </row>
    <row r="455" spans="1:6" ht="12.75">
      <c r="A455">
        <v>6</v>
      </c>
      <c r="B455" t="s">
        <v>1053</v>
      </c>
      <c r="C455" t="s">
        <v>1054</v>
      </c>
      <c r="D455">
        <v>149.82</v>
      </c>
      <c r="E455">
        <v>0.45</v>
      </c>
      <c r="F455">
        <v>22</v>
      </c>
    </row>
    <row r="456" spans="1:6" ht="12.75">
      <c r="A456">
        <v>6</v>
      </c>
      <c r="B456" t="s">
        <v>1055</v>
      </c>
      <c r="C456" t="s">
        <v>1056</v>
      </c>
      <c r="D456">
        <v>497.7</v>
      </c>
      <c r="E456">
        <v>1.48</v>
      </c>
      <c r="F456">
        <v>22</v>
      </c>
    </row>
    <row r="457" spans="1:6" ht="12.75">
      <c r="A457">
        <v>6</v>
      </c>
      <c r="B457" t="s">
        <v>1057</v>
      </c>
      <c r="C457" t="s">
        <v>1058</v>
      </c>
      <c r="D457">
        <v>158.81</v>
      </c>
      <c r="E457">
        <v>0.47</v>
      </c>
      <c r="F457">
        <v>22</v>
      </c>
    </row>
    <row r="458" spans="1:23" ht="12.75">
      <c r="A458">
        <v>6</v>
      </c>
      <c r="B458" t="s">
        <v>1059</v>
      </c>
      <c r="C458" t="s">
        <v>1060</v>
      </c>
      <c r="D458">
        <v>172.99</v>
      </c>
      <c r="E458">
        <v>0.51</v>
      </c>
      <c r="F458">
        <v>22</v>
      </c>
      <c r="W458" s="23" t="s">
        <v>13</v>
      </c>
    </row>
    <row r="459" spans="1:6" ht="12.75">
      <c r="A459">
        <v>6</v>
      </c>
      <c r="B459" t="s">
        <v>1061</v>
      </c>
      <c r="C459" t="s">
        <v>1062</v>
      </c>
      <c r="D459">
        <v>251.45</v>
      </c>
      <c r="E459">
        <v>0.75</v>
      </c>
      <c r="F459">
        <v>22</v>
      </c>
    </row>
    <row r="460" spans="1:6" ht="12.75">
      <c r="A460">
        <v>6</v>
      </c>
      <c r="B460" t="s">
        <v>1063</v>
      </c>
      <c r="C460" t="s">
        <v>1064</v>
      </c>
      <c r="D460">
        <v>251.45</v>
      </c>
      <c r="E460">
        <v>0.75</v>
      </c>
      <c r="F460">
        <v>22</v>
      </c>
    </row>
    <row r="461" spans="1:6" ht="12.75">
      <c r="A461">
        <v>6</v>
      </c>
      <c r="B461" t="s">
        <v>1065</v>
      </c>
      <c r="C461" t="s">
        <v>1066</v>
      </c>
      <c r="D461">
        <v>167.32</v>
      </c>
      <c r="E461">
        <v>0.5</v>
      </c>
      <c r="F461">
        <v>22</v>
      </c>
    </row>
    <row r="462" spans="1:6" ht="12.75">
      <c r="A462">
        <v>6</v>
      </c>
      <c r="B462" t="s">
        <v>1067</v>
      </c>
      <c r="C462" t="s">
        <v>1068</v>
      </c>
      <c r="D462">
        <v>251.45</v>
      </c>
      <c r="E462">
        <v>0.75</v>
      </c>
      <c r="F462">
        <v>22</v>
      </c>
    </row>
    <row r="463" spans="1:6" ht="12.75">
      <c r="A463">
        <v>6</v>
      </c>
      <c r="B463" t="s">
        <v>1069</v>
      </c>
      <c r="C463" t="s">
        <v>1070</v>
      </c>
      <c r="D463">
        <v>121.94</v>
      </c>
      <c r="E463">
        <v>0.36</v>
      </c>
      <c r="F463">
        <v>22</v>
      </c>
    </row>
    <row r="464" spans="1:6" ht="12.75">
      <c r="A464">
        <v>6</v>
      </c>
      <c r="B464" t="s">
        <v>1071</v>
      </c>
      <c r="C464" t="s">
        <v>1072</v>
      </c>
      <c r="D464">
        <v>107.76</v>
      </c>
      <c r="E464">
        <v>0.32</v>
      </c>
      <c r="F464">
        <v>22</v>
      </c>
    </row>
    <row r="465" spans="1:6" ht="12.75">
      <c r="A465">
        <v>6</v>
      </c>
      <c r="B465" t="s">
        <v>1073</v>
      </c>
      <c r="C465" t="s">
        <v>1074</v>
      </c>
      <c r="D465">
        <v>167.32</v>
      </c>
      <c r="E465">
        <v>0.5</v>
      </c>
      <c r="F465">
        <v>22</v>
      </c>
    </row>
    <row r="466" spans="1:6" ht="12.75">
      <c r="A466">
        <v>6</v>
      </c>
      <c r="B466" t="s">
        <v>1075</v>
      </c>
      <c r="C466" t="s">
        <v>1076</v>
      </c>
      <c r="D466">
        <v>165.9</v>
      </c>
      <c r="E466">
        <v>0.49</v>
      </c>
      <c r="F466">
        <v>22</v>
      </c>
    </row>
    <row r="467" spans="1:6" ht="12.75">
      <c r="A467">
        <v>6</v>
      </c>
      <c r="B467" t="s">
        <v>1077</v>
      </c>
      <c r="C467" t="s">
        <v>1078</v>
      </c>
      <c r="D467">
        <v>104.93</v>
      </c>
      <c r="E467">
        <v>0.31</v>
      </c>
      <c r="F467">
        <v>22</v>
      </c>
    </row>
    <row r="468" spans="1:6" ht="12.75">
      <c r="A468">
        <v>6</v>
      </c>
      <c r="B468" t="s">
        <v>1079</v>
      </c>
      <c r="C468" t="s">
        <v>1080</v>
      </c>
      <c r="D468">
        <v>588</v>
      </c>
      <c r="E468">
        <v>1.75</v>
      </c>
      <c r="F468">
        <v>22</v>
      </c>
    </row>
    <row r="469" spans="1:6" ht="12.75">
      <c r="A469">
        <v>6</v>
      </c>
      <c r="B469" t="s">
        <v>1081</v>
      </c>
      <c r="C469" t="s">
        <v>1082</v>
      </c>
      <c r="D469">
        <v>418.29</v>
      </c>
      <c r="E469">
        <v>1.25</v>
      </c>
      <c r="F469">
        <v>22</v>
      </c>
    </row>
    <row r="470" spans="1:6" ht="12.75">
      <c r="A470">
        <v>6</v>
      </c>
      <c r="B470" t="s">
        <v>1083</v>
      </c>
      <c r="C470" t="s">
        <v>1084</v>
      </c>
      <c r="D470">
        <v>281.71</v>
      </c>
      <c r="E470">
        <v>0.84</v>
      </c>
      <c r="F470">
        <v>22</v>
      </c>
    </row>
    <row r="471" spans="1:6" ht="12.75">
      <c r="A471">
        <v>6</v>
      </c>
      <c r="B471" t="s">
        <v>1085</v>
      </c>
      <c r="C471" t="s">
        <v>1086</v>
      </c>
      <c r="D471">
        <v>301.33</v>
      </c>
      <c r="E471">
        <v>0.9</v>
      </c>
      <c r="F471">
        <v>22</v>
      </c>
    </row>
    <row r="472" spans="1:6" ht="12.75">
      <c r="A472">
        <v>6</v>
      </c>
      <c r="B472" t="s">
        <v>1087</v>
      </c>
      <c r="C472" t="s">
        <v>1088</v>
      </c>
      <c r="D472">
        <v>301.33</v>
      </c>
      <c r="E472">
        <v>0.9</v>
      </c>
      <c r="F472">
        <v>22</v>
      </c>
    </row>
    <row r="473" spans="1:6" ht="12.75">
      <c r="A473">
        <v>6</v>
      </c>
      <c r="B473" t="s">
        <v>1089</v>
      </c>
      <c r="C473" t="s">
        <v>1090</v>
      </c>
      <c r="D473">
        <v>301.33</v>
      </c>
      <c r="E473">
        <v>0.9</v>
      </c>
      <c r="F473">
        <v>22</v>
      </c>
    </row>
    <row r="474" spans="1:6" ht="12.75">
      <c r="A474">
        <v>6</v>
      </c>
      <c r="B474" t="s">
        <v>1091</v>
      </c>
      <c r="C474" t="s">
        <v>1092</v>
      </c>
      <c r="D474">
        <v>254.55</v>
      </c>
      <c r="E474">
        <v>0.76</v>
      </c>
      <c r="F474">
        <v>22</v>
      </c>
    </row>
    <row r="475" spans="1:6" ht="12.75">
      <c r="A475">
        <v>6</v>
      </c>
      <c r="B475" t="s">
        <v>1093</v>
      </c>
      <c r="C475" t="s">
        <v>1094</v>
      </c>
      <c r="D475">
        <v>145.45</v>
      </c>
      <c r="E475">
        <v>0.43</v>
      </c>
      <c r="F475" s="1">
        <v>22</v>
      </c>
    </row>
    <row r="476" spans="1:6" ht="12.75">
      <c r="A476">
        <v>6</v>
      </c>
      <c r="B476" t="s">
        <v>1095</v>
      </c>
      <c r="C476" t="s">
        <v>1096</v>
      </c>
      <c r="D476">
        <v>247</v>
      </c>
      <c r="E476">
        <v>0.74</v>
      </c>
      <c r="F476">
        <v>22</v>
      </c>
    </row>
    <row r="477" spans="1:6" ht="12.75">
      <c r="A477">
        <v>6</v>
      </c>
      <c r="B477" t="s">
        <v>1097</v>
      </c>
      <c r="C477" t="s">
        <v>1098</v>
      </c>
      <c r="D477">
        <v>247</v>
      </c>
      <c r="E477">
        <v>0.74</v>
      </c>
      <c r="F477">
        <v>22</v>
      </c>
    </row>
    <row r="478" spans="1:6" ht="12.75">
      <c r="A478">
        <v>6</v>
      </c>
      <c r="B478" t="s">
        <v>1099</v>
      </c>
      <c r="C478" t="s">
        <v>1100</v>
      </c>
      <c r="D478">
        <v>106.91</v>
      </c>
      <c r="E478">
        <v>0.32</v>
      </c>
      <c r="F478">
        <v>22</v>
      </c>
    </row>
    <row r="479" spans="1:6" ht="12.75">
      <c r="A479">
        <v>6</v>
      </c>
      <c r="B479" t="s">
        <v>1101</v>
      </c>
      <c r="C479" t="s">
        <v>1102</v>
      </c>
      <c r="D479">
        <v>52.09</v>
      </c>
      <c r="E479">
        <v>0.16</v>
      </c>
      <c r="F479">
        <v>22</v>
      </c>
    </row>
    <row r="480" spans="1:6" ht="12.75">
      <c r="A480">
        <v>6</v>
      </c>
      <c r="B480" t="s">
        <v>1103</v>
      </c>
      <c r="C480" t="s">
        <v>1104</v>
      </c>
      <c r="D480">
        <v>169.36</v>
      </c>
      <c r="E480">
        <v>0.5</v>
      </c>
      <c r="F480">
        <v>22</v>
      </c>
    </row>
    <row r="481" spans="1:6" ht="12.75">
      <c r="A481">
        <v>6</v>
      </c>
      <c r="B481" t="s">
        <v>1105</v>
      </c>
      <c r="C481" t="s">
        <v>1106</v>
      </c>
      <c r="D481">
        <v>225</v>
      </c>
      <c r="E481">
        <v>0.67</v>
      </c>
      <c r="F481">
        <v>22</v>
      </c>
    </row>
    <row r="482" spans="1:6" ht="12.75">
      <c r="A482">
        <v>6</v>
      </c>
      <c r="B482" t="s">
        <v>1107</v>
      </c>
      <c r="C482" t="s">
        <v>1108</v>
      </c>
      <c r="D482">
        <v>2125.05</v>
      </c>
      <c r="E482">
        <v>6.33</v>
      </c>
      <c r="F482">
        <v>0</v>
      </c>
    </row>
    <row r="483" spans="1:6" ht="12.75">
      <c r="A483">
        <v>6</v>
      </c>
      <c r="B483" t="s">
        <v>1109</v>
      </c>
      <c r="C483" t="s">
        <v>1110</v>
      </c>
      <c r="D483">
        <v>2951.95</v>
      </c>
      <c r="E483">
        <v>8.79</v>
      </c>
      <c r="F483">
        <v>0</v>
      </c>
    </row>
    <row r="484" spans="1:6" ht="12.75">
      <c r="A484">
        <v>6</v>
      </c>
      <c r="B484" t="s">
        <v>1111</v>
      </c>
      <c r="C484" t="s">
        <v>1112</v>
      </c>
      <c r="D484">
        <v>378.34</v>
      </c>
      <c r="E484">
        <v>1.13</v>
      </c>
      <c r="F484">
        <v>0</v>
      </c>
    </row>
    <row r="485" spans="1:6" ht="12.75">
      <c r="A485">
        <v>6</v>
      </c>
      <c r="B485" t="s">
        <v>1113</v>
      </c>
      <c r="C485" t="s">
        <v>1114</v>
      </c>
      <c r="D485">
        <v>160.44</v>
      </c>
      <c r="E485">
        <v>0.48</v>
      </c>
      <c r="F485">
        <v>0</v>
      </c>
    </row>
    <row r="486" spans="1:6" ht="12.75">
      <c r="A486">
        <v>6</v>
      </c>
      <c r="B486" t="s">
        <v>1115</v>
      </c>
      <c r="C486" t="s">
        <v>1116</v>
      </c>
      <c r="D486">
        <v>1076.08</v>
      </c>
      <c r="E486">
        <v>3.2</v>
      </c>
      <c r="F486">
        <v>0</v>
      </c>
    </row>
    <row r="487" spans="1:6" ht="12.75">
      <c r="A487">
        <v>6</v>
      </c>
      <c r="B487" t="s">
        <v>1117</v>
      </c>
      <c r="C487" t="s">
        <v>1118</v>
      </c>
      <c r="D487">
        <v>80.44</v>
      </c>
      <c r="E487">
        <v>0.24</v>
      </c>
      <c r="F487">
        <v>0</v>
      </c>
    </row>
    <row r="488" spans="1:6" ht="12.75">
      <c r="A488">
        <v>6</v>
      </c>
      <c r="B488" t="s">
        <v>1119</v>
      </c>
      <c r="C488" t="s">
        <v>1120</v>
      </c>
      <c r="D488">
        <v>1370.25</v>
      </c>
      <c r="E488">
        <v>4.08</v>
      </c>
      <c r="F488">
        <v>0</v>
      </c>
    </row>
    <row r="489" spans="1:6" ht="12.75">
      <c r="A489">
        <v>6</v>
      </c>
      <c r="B489" t="s">
        <v>1121</v>
      </c>
      <c r="C489" t="s">
        <v>1122</v>
      </c>
      <c r="D489">
        <v>685.13</v>
      </c>
      <c r="E489">
        <v>2.04</v>
      </c>
      <c r="F489">
        <v>0</v>
      </c>
    </row>
    <row r="490" spans="1:7" ht="12.75">
      <c r="A490">
        <v>6</v>
      </c>
      <c r="B490" t="s">
        <v>1123</v>
      </c>
      <c r="C490" t="s">
        <v>1124</v>
      </c>
      <c r="D490">
        <v>1076.63</v>
      </c>
      <c r="E490">
        <v>3.21</v>
      </c>
      <c r="F490">
        <v>0</v>
      </c>
      <c r="G490" t="s">
        <v>13</v>
      </c>
    </row>
    <row r="491" spans="1:6" ht="12.75">
      <c r="A491">
        <v>6</v>
      </c>
      <c r="B491" t="s">
        <v>1125</v>
      </c>
      <c r="C491" t="s">
        <v>1126</v>
      </c>
      <c r="D491">
        <v>1271.25</v>
      </c>
      <c r="E491">
        <v>3.78</v>
      </c>
      <c r="F491">
        <v>0</v>
      </c>
    </row>
    <row r="492" spans="1:6" ht="12.75">
      <c r="A492">
        <v>6</v>
      </c>
      <c r="B492" t="s">
        <v>1127</v>
      </c>
      <c r="C492" t="s">
        <v>1128</v>
      </c>
      <c r="D492">
        <v>502.87</v>
      </c>
      <c r="E492">
        <v>1.5</v>
      </c>
      <c r="F492">
        <v>0</v>
      </c>
    </row>
    <row r="493" spans="1:9" ht="12.75">
      <c r="A493" s="9">
        <v>6</v>
      </c>
      <c r="B493" s="9" t="s">
        <v>1129</v>
      </c>
      <c r="C493" s="9" t="s">
        <v>1130</v>
      </c>
      <c r="D493" s="9">
        <v>904.52</v>
      </c>
      <c r="E493" s="9">
        <v>2.69</v>
      </c>
      <c r="F493" s="9">
        <v>22</v>
      </c>
      <c r="G493" s="9">
        <v>12876.9</v>
      </c>
      <c r="H493" s="9">
        <v>38.33</v>
      </c>
      <c r="I493" s="9">
        <v>0</v>
      </c>
    </row>
    <row r="494" spans="1:9" ht="12.75">
      <c r="A494" s="19">
        <v>6</v>
      </c>
      <c r="B494" s="19" t="s">
        <v>1131</v>
      </c>
      <c r="C494" s="19" t="s">
        <v>1132</v>
      </c>
      <c r="D494" s="19">
        <v>1198.48</v>
      </c>
      <c r="E494" s="19">
        <v>3.57</v>
      </c>
      <c r="F494" s="19">
        <v>0</v>
      </c>
      <c r="G494" s="19">
        <v>10156.52</v>
      </c>
      <c r="H494" s="19">
        <v>30.24</v>
      </c>
      <c r="I494" s="19">
        <v>22</v>
      </c>
    </row>
    <row r="495" ht="12.75">
      <c r="G495" t="s">
        <v>13</v>
      </c>
    </row>
    <row r="496" spans="4:9" ht="12.75">
      <c r="D496">
        <v>335912.67</v>
      </c>
      <c r="E496">
        <v>1000</v>
      </c>
      <c r="G496" s="70">
        <v>75922.21</v>
      </c>
      <c r="H496" s="136">
        <v>226.02</v>
      </c>
      <c r="I496" s="136">
        <v>0</v>
      </c>
    </row>
    <row r="497" spans="7:9" ht="12.75">
      <c r="G497" s="99">
        <v>25394.71</v>
      </c>
      <c r="H497" s="76">
        <v>75.6</v>
      </c>
      <c r="I497" s="137">
        <v>8</v>
      </c>
    </row>
    <row r="498" spans="7:9" ht="12.75">
      <c r="G498" s="99">
        <v>46414</v>
      </c>
      <c r="H498" s="137">
        <v>138.17</v>
      </c>
      <c r="I498" s="137">
        <v>17</v>
      </c>
    </row>
    <row r="499" spans="7:9" ht="12.75">
      <c r="G499" s="83">
        <v>188181.76</v>
      </c>
      <c r="H499" s="138">
        <v>560.21</v>
      </c>
      <c r="I499" s="138">
        <v>22</v>
      </c>
    </row>
    <row r="500" spans="7:9" ht="12.75">
      <c r="G500" s="121">
        <f>SUM(G496:G499)</f>
        <v>335912.68000000005</v>
      </c>
      <c r="H500" s="140">
        <f>SUM(H496:H499)</f>
        <v>1000</v>
      </c>
      <c r="I500" s="138"/>
    </row>
    <row r="503" spans="2:8" ht="12.75">
      <c r="B503" s="9"/>
      <c r="C503" s="9"/>
      <c r="D503" s="132"/>
      <c r="E503" s="9"/>
      <c r="F503" s="132"/>
      <c r="G503" s="141"/>
      <c r="H503" s="9" t="s">
        <v>13</v>
      </c>
    </row>
    <row r="504" spans="2:8" ht="12.75">
      <c r="B504" s="9"/>
      <c r="C504" s="9"/>
      <c r="D504" s="132"/>
      <c r="E504" s="9"/>
      <c r="F504" s="9"/>
      <c r="G504" s="141"/>
      <c r="H504" s="9"/>
    </row>
    <row r="505" spans="2:8" ht="12.75">
      <c r="B505" s="9"/>
      <c r="C505" s="9"/>
      <c r="D505" s="132"/>
      <c r="E505" s="9"/>
      <c r="F505" s="9"/>
      <c r="G505" s="141"/>
      <c r="H505" s="9"/>
    </row>
    <row r="506" spans="2:8" ht="12.75">
      <c r="B506" s="9"/>
      <c r="C506" s="9"/>
      <c r="D506" s="9"/>
      <c r="E506" s="9"/>
      <c r="F506" s="9"/>
      <c r="G506" s="9"/>
      <c r="H506" s="9"/>
    </row>
    <row r="507" spans="2:7" ht="12.75">
      <c r="B507" s="9"/>
      <c r="C507" s="9"/>
      <c r="D507" s="104"/>
      <c r="E507" s="9"/>
      <c r="F507" s="9"/>
      <c r="G507" s="9"/>
    </row>
    <row r="508" spans="2:7" ht="12.75">
      <c r="B508" s="9"/>
      <c r="C508" s="9"/>
      <c r="D508" s="9"/>
      <c r="E508" s="13"/>
      <c r="F508" s="9"/>
      <c r="G508" s="9"/>
    </row>
    <row r="509" spans="2:7" ht="12.75">
      <c r="B509" s="9"/>
      <c r="C509" s="9"/>
      <c r="D509" s="141"/>
      <c r="E509" s="9"/>
      <c r="F509" s="9"/>
      <c r="G509" s="9"/>
    </row>
    <row r="510" spans="2:7" ht="12.75">
      <c r="B510" s="9"/>
      <c r="C510" s="9"/>
      <c r="D510" s="13"/>
      <c r="E510" s="9"/>
      <c r="F510" s="9"/>
      <c r="G510" s="9"/>
    </row>
    <row r="511" spans="2:7" ht="12.75">
      <c r="B511" s="9"/>
      <c r="C511" s="9"/>
      <c r="D511" s="9"/>
      <c r="E511" s="9"/>
      <c r="F511" s="9"/>
      <c r="G511" s="9"/>
    </row>
    <row r="512" spans="2:7" ht="12.75">
      <c r="B512" s="9"/>
      <c r="C512" s="9"/>
      <c r="D512" s="13"/>
      <c r="E512" s="13"/>
      <c r="F512" s="9"/>
      <c r="G512" s="9"/>
    </row>
    <row r="513" spans="2:7" ht="12.75">
      <c r="B513" s="9"/>
      <c r="C513" s="9"/>
      <c r="D513" s="13"/>
      <c r="E513" s="9"/>
      <c r="F513" s="9"/>
      <c r="G513" s="9"/>
    </row>
    <row r="514" spans="2:7" ht="12.75">
      <c r="B514" s="9"/>
      <c r="C514" s="9"/>
      <c r="D514" s="13"/>
      <c r="E514" s="9"/>
      <c r="F514" s="9"/>
      <c r="G514" s="9"/>
    </row>
    <row r="515" spans="2:8" ht="12.75">
      <c r="B515" s="9"/>
      <c r="C515" s="9"/>
      <c r="D515" s="9"/>
      <c r="E515" s="13"/>
      <c r="F515" s="12"/>
      <c r="G515" s="102"/>
      <c r="H515" s="9"/>
    </row>
  </sheetData>
  <sheetProtection/>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X56"/>
  <sheetViews>
    <sheetView tabSelected="1" zoomScalePageLayoutView="0" workbookViewId="0" topLeftCell="A1">
      <selection activeCell="A4" sqref="A4"/>
    </sheetView>
  </sheetViews>
  <sheetFormatPr defaultColWidth="9.140625" defaultRowHeight="12.75"/>
  <cols>
    <col min="4" max="4" width="12.8515625" style="0" customWidth="1"/>
    <col min="5" max="5" width="10.7109375" style="0" customWidth="1"/>
    <col min="6" max="6" width="18.00390625" style="0" customWidth="1"/>
    <col min="7" max="7" width="19.421875" style="0" customWidth="1"/>
    <col min="8" max="8" width="25.57421875" style="0" customWidth="1"/>
    <col min="9" max="9" width="10.57421875" style="0" customWidth="1"/>
    <col min="10" max="10" width="7.28125" style="0" customWidth="1"/>
    <col min="11" max="11" width="13.421875" style="0" hidden="1" customWidth="1"/>
    <col min="12" max="12" width="7.28125" style="0" hidden="1" customWidth="1"/>
    <col min="13" max="13" width="6.57421875" style="0" hidden="1" customWidth="1"/>
    <col min="14" max="14" width="6.28125" style="0" hidden="1" customWidth="1"/>
    <col min="15" max="15" width="6.00390625" style="0" hidden="1" customWidth="1"/>
    <col min="16" max="16" width="7.140625" style="0" hidden="1" customWidth="1"/>
    <col min="17" max="17" width="5.8515625" style="0" hidden="1" customWidth="1"/>
    <col min="18" max="18" width="13.421875" style="0" hidden="1" customWidth="1"/>
    <col min="19" max="19" width="11.57421875" style="0" hidden="1" customWidth="1"/>
    <col min="20" max="22" width="0" style="0" hidden="1" customWidth="1"/>
    <col min="23" max="23" width="12.57421875" style="0" hidden="1" customWidth="1"/>
    <col min="24" max="24" width="0" style="0" hidden="1" customWidth="1"/>
  </cols>
  <sheetData>
    <row r="1" ht="12.75">
      <c r="B1" t="s">
        <v>1153</v>
      </c>
    </row>
    <row r="2" spans="2:21" ht="15.75">
      <c r="B2" t="s">
        <v>1777</v>
      </c>
      <c r="M2" s="333"/>
      <c r="N2" s="192"/>
      <c r="O2" s="341"/>
      <c r="P2" s="245"/>
      <c r="Q2" s="342"/>
      <c r="R2" s="335"/>
      <c r="S2" s="343"/>
      <c r="T2" s="9"/>
      <c r="U2" s="9"/>
    </row>
    <row r="3" ht="13.5" thickBot="1"/>
    <row r="4" spans="1:12" ht="18">
      <c r="A4" s="344" t="s">
        <v>1778</v>
      </c>
      <c r="B4" s="317" t="s">
        <v>2</v>
      </c>
      <c r="C4" s="318"/>
      <c r="D4" s="318"/>
      <c r="E4" s="318"/>
      <c r="F4" s="318"/>
      <c r="G4" s="318"/>
      <c r="H4" s="318"/>
      <c r="I4" s="319"/>
      <c r="L4" s="4"/>
    </row>
    <row r="5" spans="1:13" ht="18">
      <c r="A5" s="8"/>
      <c r="B5" s="320" t="s">
        <v>1154</v>
      </c>
      <c r="C5" s="321"/>
      <c r="D5" s="321"/>
      <c r="E5" s="321"/>
      <c r="F5" s="321"/>
      <c r="G5" s="321"/>
      <c r="H5" s="321"/>
      <c r="I5" s="322"/>
      <c r="K5" t="s">
        <v>24</v>
      </c>
      <c r="M5" t="s">
        <v>13</v>
      </c>
    </row>
    <row r="6" spans="1:11" ht="12.75">
      <c r="A6" s="8"/>
      <c r="B6" s="9"/>
      <c r="C6" s="9"/>
      <c r="D6" s="9"/>
      <c r="E6" s="9"/>
      <c r="F6" s="9"/>
      <c r="G6" s="9"/>
      <c r="H6" s="9"/>
      <c r="I6" s="10"/>
      <c r="K6" s="4" t="s">
        <v>1214</v>
      </c>
    </row>
    <row r="7" spans="1:11" ht="12.75">
      <c r="A7" s="8"/>
      <c r="B7" s="9" t="s">
        <v>1766</v>
      </c>
      <c r="C7" s="9"/>
      <c r="D7" s="9"/>
      <c r="E7" s="9"/>
      <c r="F7" s="9"/>
      <c r="G7" s="9"/>
      <c r="H7" s="9"/>
      <c r="I7" s="10"/>
      <c r="K7" t="s">
        <v>27</v>
      </c>
    </row>
    <row r="8" spans="1:23" ht="13.5" thickBot="1">
      <c r="A8" s="8"/>
      <c r="B8" s="9"/>
      <c r="C8" s="9"/>
      <c r="D8" s="9"/>
      <c r="E8" s="9"/>
      <c r="F8" s="9"/>
      <c r="G8" s="9"/>
      <c r="H8" s="9"/>
      <c r="I8" s="10"/>
      <c r="W8" s="23">
        <v>105590</v>
      </c>
    </row>
    <row r="9" spans="1:23" ht="15.75">
      <c r="A9" s="8"/>
      <c r="B9" s="173" t="s">
        <v>5</v>
      </c>
      <c r="C9" s="199" t="s">
        <v>6</v>
      </c>
      <c r="D9" s="204" t="s">
        <v>7</v>
      </c>
      <c r="E9" s="172" t="s">
        <v>8</v>
      </c>
      <c r="F9" s="207" t="s">
        <v>9</v>
      </c>
      <c r="G9" s="173" t="s">
        <v>10</v>
      </c>
      <c r="H9" s="174" t="s">
        <v>11</v>
      </c>
      <c r="I9" s="178"/>
      <c r="K9" s="116" t="s">
        <v>30</v>
      </c>
      <c r="L9" s="273">
        <v>24</v>
      </c>
      <c r="M9" s="271">
        <v>23</v>
      </c>
      <c r="N9" s="270">
        <v>14</v>
      </c>
      <c r="O9" s="284">
        <v>13</v>
      </c>
      <c r="P9" s="280">
        <v>10</v>
      </c>
      <c r="Q9" s="281">
        <v>9</v>
      </c>
      <c r="S9">
        <v>13.64</v>
      </c>
      <c r="T9">
        <v>18.95</v>
      </c>
      <c r="W9" s="23">
        <f>(C13*D13+C14*D14+C15*D15+C16*D16+C17*D17)</f>
        <v>61937.405849777235</v>
      </c>
    </row>
    <row r="10" spans="1:23" ht="16.5" thickBot="1">
      <c r="A10" s="8"/>
      <c r="B10" s="177" t="s">
        <v>12</v>
      </c>
      <c r="C10" s="200" t="s">
        <v>13</v>
      </c>
      <c r="D10" s="205" t="s">
        <v>1776</v>
      </c>
      <c r="E10" s="176" t="s">
        <v>15</v>
      </c>
      <c r="F10" s="208" t="s">
        <v>16</v>
      </c>
      <c r="G10" s="177" t="s">
        <v>17</v>
      </c>
      <c r="H10" s="178"/>
      <c r="I10" s="178"/>
      <c r="K10" s="14"/>
      <c r="L10" s="274"/>
      <c r="M10" s="18"/>
      <c r="N10" s="15"/>
      <c r="O10" s="285"/>
      <c r="P10" s="14"/>
      <c r="Q10" s="277"/>
      <c r="S10" s="4" t="s">
        <v>13</v>
      </c>
      <c r="W10" s="23">
        <f>(W8-W9)/417.76</f>
        <v>104.49203885059069</v>
      </c>
    </row>
    <row r="11" spans="1:20" ht="16.5" thickBot="1">
      <c r="A11" s="8"/>
      <c r="B11" s="181" t="s">
        <v>18</v>
      </c>
      <c r="C11" s="201" t="s">
        <v>19</v>
      </c>
      <c r="D11" s="260" t="s">
        <v>1209</v>
      </c>
      <c r="E11" s="180" t="s">
        <v>21</v>
      </c>
      <c r="F11" s="259" t="s">
        <v>1208</v>
      </c>
      <c r="G11" s="181" t="s">
        <v>1145</v>
      </c>
      <c r="H11" s="182"/>
      <c r="I11" s="178"/>
      <c r="K11" s="5" t="s">
        <v>1186</v>
      </c>
      <c r="L11" s="289">
        <f>100.812-L12</f>
        <v>19.512</v>
      </c>
      <c r="M11" s="290">
        <f>100-M12</f>
        <v>18.700000000000003</v>
      </c>
      <c r="N11" s="60">
        <f>N13-N12</f>
        <v>12.389379799999986</v>
      </c>
      <c r="O11" s="291">
        <f>100-O12</f>
        <v>11.50443</v>
      </c>
      <c r="P11" s="292">
        <f>P13-P12</f>
        <v>9.174310000000006</v>
      </c>
      <c r="Q11" s="293">
        <f>100-Q12</f>
        <v>8.256900000000002</v>
      </c>
      <c r="S11" s="302">
        <f>S13-S12</f>
        <v>12.0018867</v>
      </c>
      <c r="T11" s="302">
        <f>T13-T12</f>
        <v>15.929649999999995</v>
      </c>
    </row>
    <row r="12" spans="1:20" ht="15.75">
      <c r="A12" s="8"/>
      <c r="B12" s="205">
        <v>23</v>
      </c>
      <c r="C12" s="192">
        <f>G41/$G$48*1000</f>
        <v>417.75656083154513</v>
      </c>
      <c r="D12" s="233">
        <v>104.49</v>
      </c>
      <c r="E12" s="245">
        <f>(100/1.23)*((B12)+100)/100-100</f>
        <v>0</v>
      </c>
      <c r="F12" s="334">
        <f aca="true" t="shared" si="0" ref="F12:F17">(((E12)*(D12)/100)*(C12)/1000)/($D$18)*100</f>
        <v>0</v>
      </c>
      <c r="G12" s="339">
        <f>((F41/1.23)*((100+B12)/100)-(F41/1.23))-(F41-F41/1.23)</f>
        <v>0</v>
      </c>
      <c r="H12" s="295" t="s">
        <v>1217</v>
      </c>
      <c r="I12" s="323"/>
      <c r="K12" s="8" t="s">
        <v>35</v>
      </c>
      <c r="L12" s="275">
        <f>M12</f>
        <v>81.3</v>
      </c>
      <c r="M12" s="272">
        <v>81.3</v>
      </c>
      <c r="N12" s="150">
        <f>O12</f>
        <v>88.49557</v>
      </c>
      <c r="O12" s="255">
        <v>88.49557</v>
      </c>
      <c r="P12" s="282">
        <f>Q12</f>
        <v>91.7431</v>
      </c>
      <c r="Q12" s="278">
        <v>91.7431</v>
      </c>
      <c r="S12" s="24">
        <v>87.9981133</v>
      </c>
      <c r="T12" s="23">
        <v>84.07035</v>
      </c>
    </row>
    <row r="13" spans="1:20" ht="16.5" thickBot="1">
      <c r="A13" s="8"/>
      <c r="B13" s="205">
        <v>13</v>
      </c>
      <c r="C13" s="196">
        <f>G42/$G$48*1000</f>
        <v>46.74758431941158</v>
      </c>
      <c r="D13" s="254">
        <v>104.68</v>
      </c>
      <c r="E13" s="244">
        <f>(100/1.13)*((B13)+100)/100-100</f>
        <v>0</v>
      </c>
      <c r="F13" s="338">
        <f t="shared" si="0"/>
        <v>0</v>
      </c>
      <c r="G13" s="258">
        <f>((F42/1.13)*((100+B13)/100)-(F42/1.13))-(F42-F42/1.13)</f>
        <v>0</v>
      </c>
      <c r="H13" s="297" t="s">
        <v>1222</v>
      </c>
      <c r="I13" s="323"/>
      <c r="K13" s="8" t="s">
        <v>37</v>
      </c>
      <c r="L13" s="275">
        <f>$M$12*((L9+100)/100)</f>
        <v>100.812</v>
      </c>
      <c r="M13" s="272">
        <f>M11+M12</f>
        <v>100</v>
      </c>
      <c r="N13" s="275">
        <f>$N$12*((N9+100)/100)</f>
        <v>100.88494979999999</v>
      </c>
      <c r="O13" s="287">
        <v>100</v>
      </c>
      <c r="P13" s="275">
        <f>$P$12*((P9+100)/100)</f>
        <v>100.91741</v>
      </c>
      <c r="Q13" s="294">
        <v>100</v>
      </c>
      <c r="S13">
        <v>100</v>
      </c>
      <c r="T13">
        <v>100</v>
      </c>
    </row>
    <row r="14" spans="1:17" ht="16.5" thickBot="1">
      <c r="A14" s="8"/>
      <c r="B14" s="336">
        <v>23</v>
      </c>
      <c r="C14" s="192">
        <f>G43/$G$48*1000</f>
        <v>50.42739620496169</v>
      </c>
      <c r="D14" s="232">
        <v>103.63</v>
      </c>
      <c r="E14" s="245">
        <f>(100/1.23)*((B14)+100)/100-100</f>
        <v>0</v>
      </c>
      <c r="F14" s="334">
        <f t="shared" si="0"/>
        <v>0</v>
      </c>
      <c r="G14" s="257">
        <f>((F43/1.23)*((100+B14)/100)-(F43/1.23))-(F43-F43/1.23)</f>
        <v>0</v>
      </c>
      <c r="H14" s="296" t="s">
        <v>1218</v>
      </c>
      <c r="I14" s="323"/>
      <c r="K14" s="151" t="s">
        <v>1212</v>
      </c>
      <c r="L14" s="276">
        <f>L13/M13*100-100</f>
        <v>0.8119999999999834</v>
      </c>
      <c r="M14" s="18"/>
      <c r="N14" s="235">
        <f>N13/M13*100-100</f>
        <v>0.8849497999999727</v>
      </c>
      <c r="O14" s="286" t="s">
        <v>13</v>
      </c>
      <c r="P14" s="283">
        <f>P13/M13*100-100</f>
        <v>0.9174100000000038</v>
      </c>
      <c r="Q14" s="279">
        <f>Q13/M13*100-100</f>
        <v>0</v>
      </c>
    </row>
    <row r="15" spans="1:17" ht="15.75">
      <c r="A15" s="8"/>
      <c r="B15" s="205">
        <v>13</v>
      </c>
      <c r="C15" s="192">
        <f>G45/$G$48*1000</f>
        <v>139.33585943976126</v>
      </c>
      <c r="D15" s="232">
        <v>111.24</v>
      </c>
      <c r="E15" s="245">
        <f>(100/1.13)*((B15)+100)/100-100</f>
        <v>0</v>
      </c>
      <c r="F15" s="334">
        <f t="shared" si="0"/>
        <v>0</v>
      </c>
      <c r="G15" s="257">
        <f>((F45/1.13)*((100+B15)/100)-(F45/1.13))-(F45-F45/1.13)</f>
        <v>0</v>
      </c>
      <c r="H15" s="296" t="s">
        <v>1219</v>
      </c>
      <c r="I15" s="323"/>
      <c r="K15" s="9"/>
      <c r="L15" s="9"/>
      <c r="M15" s="9"/>
      <c r="N15" s="9"/>
      <c r="O15" s="150" t="s">
        <v>13</v>
      </c>
      <c r="P15" s="288" t="s">
        <v>13</v>
      </c>
      <c r="Q15" s="288" t="s">
        <v>13</v>
      </c>
    </row>
    <row r="16" spans="1:15" ht="15.75">
      <c r="A16" s="8"/>
      <c r="B16" s="205">
        <v>9</v>
      </c>
      <c r="C16" s="192">
        <f>G46/$G$48*1000</f>
        <v>74.994522136333</v>
      </c>
      <c r="D16" s="232">
        <v>104.1</v>
      </c>
      <c r="E16" s="245">
        <f>(100/1.09)*((B16)+100)/100-100</f>
        <v>0</v>
      </c>
      <c r="F16" s="334">
        <f t="shared" si="0"/>
        <v>0</v>
      </c>
      <c r="G16" s="257">
        <f>((F46/1.09)*((100+B16)/100)-(F46/1.09))-(F46-F46/1.09)</f>
        <v>0</v>
      </c>
      <c r="H16" s="296" t="s">
        <v>1220</v>
      </c>
      <c r="I16" s="323"/>
      <c r="K16" s="308" t="s">
        <v>1752</v>
      </c>
      <c r="L16" s="9"/>
      <c r="M16" s="9"/>
      <c r="N16" s="13"/>
      <c r="O16" s="9"/>
    </row>
    <row r="17" spans="1:11" ht="16.5" thickBot="1">
      <c r="A17" s="8"/>
      <c r="B17" s="337">
        <v>0</v>
      </c>
      <c r="C17" s="245">
        <f>G47/$G$48*1000</f>
        <v>270.73807706798726</v>
      </c>
      <c r="D17" s="232">
        <v>105.31</v>
      </c>
      <c r="E17" s="245">
        <f>(100/1)*((B17)+100)/100-100</f>
        <v>0</v>
      </c>
      <c r="F17" s="334">
        <f t="shared" si="0"/>
        <v>0</v>
      </c>
      <c r="G17" s="340">
        <f>((F47/1)*((100+B17)/100)-(F47/1))-(F47-F47/1)</f>
        <v>0</v>
      </c>
      <c r="H17" s="298" t="s">
        <v>1221</v>
      </c>
      <c r="I17" s="323"/>
      <c r="K17" s="4" t="s">
        <v>1758</v>
      </c>
    </row>
    <row r="18" spans="1:11" ht="21" thickBot="1">
      <c r="A18" s="8"/>
      <c r="B18" s="261" t="s">
        <v>40</v>
      </c>
      <c r="C18" s="198">
        <f>SUM(C12:C17)</f>
        <v>1000</v>
      </c>
      <c r="D18" s="234">
        <v>105.59</v>
      </c>
      <c r="E18" s="300" t="s">
        <v>13</v>
      </c>
      <c r="F18" s="224">
        <f>SUM(F12:F17)</f>
        <v>0</v>
      </c>
      <c r="G18" s="256">
        <f>SUM(G12:G17)</f>
        <v>0</v>
      </c>
      <c r="H18" s="189" t="s">
        <v>70</v>
      </c>
      <c r="I18" s="186"/>
      <c r="K18" s="299" t="s">
        <v>1773</v>
      </c>
    </row>
    <row r="19" spans="1:17" ht="12.75">
      <c r="A19" s="8"/>
      <c r="B19" s="9"/>
      <c r="C19" s="9"/>
      <c r="D19" s="9"/>
      <c r="E19" s="9"/>
      <c r="F19" s="9"/>
      <c r="G19" s="9"/>
      <c r="H19" s="9"/>
      <c r="I19" s="10"/>
      <c r="K19" s="4" t="s">
        <v>1772</v>
      </c>
      <c r="L19" s="150"/>
      <c r="M19" s="150"/>
      <c r="N19" s="150"/>
      <c r="O19" s="150"/>
      <c r="P19" s="150"/>
      <c r="Q19" s="150"/>
    </row>
    <row r="20" spans="1:17" ht="12.75">
      <c r="A20" s="8"/>
      <c r="B20" s="141" t="s">
        <v>1753</v>
      </c>
      <c r="C20" s="9"/>
      <c r="D20" s="9"/>
      <c r="E20" s="9"/>
      <c r="F20" s="9"/>
      <c r="G20" s="9"/>
      <c r="H20" s="9"/>
      <c r="I20" s="10"/>
      <c r="J20" s="1" t="s">
        <v>13</v>
      </c>
      <c r="K20" s="9"/>
      <c r="L20" s="13"/>
      <c r="M20" s="13"/>
      <c r="N20" s="13"/>
      <c r="O20" s="13"/>
      <c r="P20" s="13"/>
      <c r="Q20" s="13"/>
    </row>
    <row r="21" spans="1:11" ht="15.75">
      <c r="A21" s="8"/>
      <c r="B21" s="141" t="s">
        <v>1215</v>
      </c>
      <c r="C21" s="9"/>
      <c r="D21" s="9"/>
      <c r="E21" s="9"/>
      <c r="F21" s="9"/>
      <c r="G21" s="9"/>
      <c r="H21" s="9"/>
      <c r="I21" s="10"/>
      <c r="K21" s="308" t="s">
        <v>1754</v>
      </c>
    </row>
    <row r="22" spans="1:11" ht="13.5" thickBot="1">
      <c r="A22" s="14"/>
      <c r="B22" s="324" t="s">
        <v>1771</v>
      </c>
      <c r="C22" s="15"/>
      <c r="D22" s="15"/>
      <c r="E22" s="15"/>
      <c r="F22" s="15"/>
      <c r="G22" s="15"/>
      <c r="H22" s="15"/>
      <c r="I22" s="18"/>
      <c r="K22" s="307" t="s">
        <v>1755</v>
      </c>
    </row>
    <row r="24" ht="12.75">
      <c r="K24" s="4" t="s">
        <v>1774</v>
      </c>
    </row>
    <row r="25" spans="2:11" ht="12.75" hidden="1">
      <c r="B25" s="325" t="s">
        <v>1764</v>
      </c>
      <c r="K25" s="4" t="s">
        <v>1775</v>
      </c>
    </row>
    <row r="26" ht="12.75" hidden="1">
      <c r="B26" s="325" t="s">
        <v>1765</v>
      </c>
    </row>
    <row r="27" ht="13.5" hidden="1" thickBot="1">
      <c r="R27" s="23"/>
    </row>
    <row r="28" spans="2:23" ht="16.5" hidden="1" thickBot="1">
      <c r="B28" s="4" t="s">
        <v>1216</v>
      </c>
      <c r="K28" s="327">
        <f>(B12*C41+B13*C42+B14*C43+M2*C44+B15*C45+B16*C46)/C49</f>
        <v>19.23802058350055</v>
      </c>
      <c r="L28" s="315" t="s">
        <v>1762</v>
      </c>
      <c r="M28" s="38"/>
      <c r="N28" s="38"/>
      <c r="O28" s="38"/>
      <c r="P28" s="38"/>
      <c r="Q28" s="38"/>
      <c r="R28" s="38"/>
      <c r="S28" s="38"/>
      <c r="T28" s="38"/>
      <c r="U28" s="38"/>
      <c r="V28" s="38"/>
      <c r="W28" s="316"/>
    </row>
    <row r="29" spans="11:18" ht="12.75" hidden="1">
      <c r="K29" t="s">
        <v>13</v>
      </c>
      <c r="P29" t="s">
        <v>1763</v>
      </c>
      <c r="R29" s="23"/>
    </row>
    <row r="30" spans="2:11" ht="12.75" hidden="1">
      <c r="B30" s="4" t="s">
        <v>1749</v>
      </c>
      <c r="H30" s="302">
        <f>(((B12)*(C12)+(B13)*(C13)+(B14)*(C14)+(M2)*(N2)+(B15)*(C15)+(B16)*(C16)+(B17)*(C17))/1000)</f>
        <v>13.862266479935899</v>
      </c>
      <c r="I30" s="302"/>
      <c r="K30" t="s">
        <v>13</v>
      </c>
    </row>
    <row r="31" spans="2:11" ht="12.75" hidden="1">
      <c r="B31" s="4" t="s">
        <v>1748</v>
      </c>
      <c r="H31" s="302">
        <f>(((B12)*(C12)+(B13)*(C13)+(B14)*(C14)+(M2)*(N2)+(B15)*(C15)+(B16)*(C16))/729.26)</f>
        <v>19.008675204914432</v>
      </c>
      <c r="I31" s="302"/>
      <c r="K31" t="s">
        <v>13</v>
      </c>
    </row>
    <row r="32" ht="12.75" hidden="1">
      <c r="K32" t="s">
        <v>13</v>
      </c>
    </row>
    <row r="33" spans="2:7" ht="12.75" hidden="1">
      <c r="B33" s="4" t="s">
        <v>1756</v>
      </c>
      <c r="D33" s="9"/>
      <c r="E33" s="54"/>
      <c r="G33" s="13"/>
    </row>
    <row r="34" spans="2:9" ht="12.75" hidden="1">
      <c r="B34" s="4" t="s">
        <v>1757</v>
      </c>
      <c r="H34" s="11"/>
      <c r="I34" s="11"/>
    </row>
    <row r="35" spans="2:17" ht="12.75" hidden="1">
      <c r="B35" t="s">
        <v>1203</v>
      </c>
      <c r="K35" s="332"/>
      <c r="Q35" s="1" t="s">
        <v>1761</v>
      </c>
    </row>
    <row r="36" spans="2:11" ht="12.75" hidden="1">
      <c r="B36" t="s">
        <v>1157</v>
      </c>
      <c r="K36" s="4"/>
    </row>
    <row r="37" spans="2:18" ht="12.75" hidden="1">
      <c r="B37" t="s">
        <v>1213</v>
      </c>
      <c r="K37" s="4"/>
      <c r="L37" s="4"/>
      <c r="Q37" s="4" t="s">
        <v>1760</v>
      </c>
      <c r="R37" s="313">
        <v>39814</v>
      </c>
    </row>
    <row r="38" spans="2:24" ht="12.75" hidden="1">
      <c r="B38" s="4" t="s">
        <v>13</v>
      </c>
      <c r="Q38">
        <v>23</v>
      </c>
      <c r="R38" s="312">
        <v>47879.927852</v>
      </c>
      <c r="S38" s="23">
        <v>79.8485658020593</v>
      </c>
      <c r="W38" s="312">
        <f>G41+G43</f>
        <v>39003.598033</v>
      </c>
      <c r="X38">
        <f>W38/$W$41*100</f>
        <v>64.19969866987756</v>
      </c>
    </row>
    <row r="39" spans="6:24" ht="12.75" hidden="1">
      <c r="F39" s="306" t="s">
        <v>1751</v>
      </c>
      <c r="G39" s="145"/>
      <c r="J39" t="s">
        <v>13</v>
      </c>
      <c r="Q39">
        <v>13</v>
      </c>
      <c r="R39" s="312">
        <v>5803.915076</v>
      </c>
      <c r="S39" s="23">
        <v>9.679093424870143</v>
      </c>
      <c r="W39" s="312">
        <f>G42+G45</f>
        <v>15502.290781</v>
      </c>
      <c r="X39">
        <f>W39/$W$41*100</f>
        <v>25.51668171718338</v>
      </c>
    </row>
    <row r="40" spans="2:24" ht="12.75" hidden="1">
      <c r="B40" t="s">
        <v>13</v>
      </c>
      <c r="D40" s="9"/>
      <c r="E40" s="236" t="s">
        <v>1769</v>
      </c>
      <c r="F40" s="304" t="s">
        <v>1768</v>
      </c>
      <c r="G40" s="305" t="s">
        <v>1750</v>
      </c>
      <c r="H40" s="9"/>
      <c r="I40" s="9"/>
      <c r="Q40">
        <v>9</v>
      </c>
      <c r="R40" s="312">
        <v>6279.5732849999995</v>
      </c>
      <c r="S40" s="23">
        <v>10.472340773070558</v>
      </c>
      <c r="W40" s="312">
        <f>G44+G46</f>
        <v>6247.664304</v>
      </c>
      <c r="X40">
        <f>W40/$W$41*100</f>
        <v>10.283619612939063</v>
      </c>
    </row>
    <row r="41" spans="3:24" ht="12.75" hidden="1">
      <c r="C41" s="23">
        <f aca="true" t="shared" si="1" ref="C41:C48">F41/$F$48*1000</f>
        <v>444.7227890527317</v>
      </c>
      <c r="D41" s="231" t="s">
        <v>13</v>
      </c>
      <c r="E41" s="81">
        <f>D12</f>
        <v>104.49</v>
      </c>
      <c r="F41" s="266">
        <f>E41/100*G41*1.02*1.3</f>
        <v>48220.27429722146</v>
      </c>
      <c r="G41" s="263">
        <v>34802.578622</v>
      </c>
      <c r="H41" s="157" t="s">
        <v>1204</v>
      </c>
      <c r="I41" s="132"/>
      <c r="R41" s="312">
        <v>59963.416213</v>
      </c>
      <c r="S41" s="23">
        <v>100</v>
      </c>
      <c r="W41" s="312">
        <f>SUM(W38:W40)</f>
        <v>60753.553118</v>
      </c>
      <c r="X41">
        <f>W41/$W$41*100</f>
        <v>100</v>
      </c>
    </row>
    <row r="42" spans="3:18" ht="12.75" hidden="1">
      <c r="C42" s="23">
        <f t="shared" si="1"/>
        <v>46.02058740368073</v>
      </c>
      <c r="E42" s="76">
        <f>D13</f>
        <v>104.68</v>
      </c>
      <c r="F42" s="266">
        <f>E42/100*G42*1.02*1.2</f>
        <v>4989.906976999134</v>
      </c>
      <c r="G42" s="264">
        <v>3894.460629</v>
      </c>
      <c r="H42" s="137" t="s">
        <v>1205</v>
      </c>
      <c r="I42" s="9"/>
      <c r="R42" s="312" t="s">
        <v>13</v>
      </c>
    </row>
    <row r="43" spans="3:18" ht="12.75" hidden="1">
      <c r="C43" s="23">
        <f t="shared" si="1"/>
        <v>53.76262577568685</v>
      </c>
      <c r="E43" s="81">
        <f>D14</f>
        <v>103.63</v>
      </c>
      <c r="F43" s="267">
        <f>E43/100*G43*1.03*1.3</f>
        <v>5829.358480514245</v>
      </c>
      <c r="G43" s="263">
        <v>4201.019411</v>
      </c>
      <c r="H43" s="136" t="s">
        <v>1211</v>
      </c>
      <c r="I43" s="9"/>
      <c r="Q43" s="4" t="s">
        <v>1760</v>
      </c>
      <c r="R43" s="314" t="s">
        <v>1759</v>
      </c>
    </row>
    <row r="44" spans="3:19" ht="12.75" hidden="1">
      <c r="C44" s="23">
        <f t="shared" si="1"/>
        <v>0</v>
      </c>
      <c r="E44" s="75">
        <f>O2</f>
        <v>0</v>
      </c>
      <c r="F44" s="268">
        <f>E44/100*G44*1.015*1.1</f>
        <v>0</v>
      </c>
      <c r="G44" s="265">
        <v>0</v>
      </c>
      <c r="H44" s="138" t="s">
        <v>1210</v>
      </c>
      <c r="I44" s="9"/>
      <c r="Q44">
        <v>23</v>
      </c>
      <c r="R44" s="312">
        <v>42076.012776</v>
      </c>
      <c r="S44" s="23">
        <v>70.16947237718917</v>
      </c>
    </row>
    <row r="45" spans="3:23" ht="12.75" hidden="1">
      <c r="C45" s="23">
        <f t="shared" si="1"/>
        <v>139.69142424768154</v>
      </c>
      <c r="E45" s="89">
        <f>D15</f>
        <v>111.24</v>
      </c>
      <c r="F45" s="267">
        <f>E45/100*G45*1.02*1.15</f>
        <v>15146.421456252472</v>
      </c>
      <c r="G45" s="264">
        <v>11607.830152</v>
      </c>
      <c r="H45" s="137" t="s">
        <v>1206</v>
      </c>
      <c r="I45" s="9"/>
      <c r="O45" t="s">
        <v>13</v>
      </c>
      <c r="Q45">
        <v>13</v>
      </c>
      <c r="R45" s="312">
        <v>11607.830152</v>
      </c>
      <c r="S45" s="23">
        <v>19.358186849740285</v>
      </c>
      <c r="W45" s="312">
        <f>G48-G47</f>
        <v>60753.55311800001</v>
      </c>
    </row>
    <row r="46" spans="3:19" ht="12.75" hidden="1">
      <c r="C46" s="23">
        <f t="shared" si="1"/>
        <v>70.01514725223569</v>
      </c>
      <c r="E46" s="89">
        <f>D16</f>
        <v>104.1</v>
      </c>
      <c r="F46" s="266">
        <f>E46/100*G46*1.015*1.15</f>
        <v>7591.582191356602</v>
      </c>
      <c r="G46" s="264">
        <v>6247.664304</v>
      </c>
      <c r="H46" s="137" t="s">
        <v>1207</v>
      </c>
      <c r="I46" s="9"/>
      <c r="Q46">
        <v>9</v>
      </c>
      <c r="R46" s="312">
        <v>6279.5732849999995</v>
      </c>
      <c r="S46" s="23">
        <v>10.472340773070558</v>
      </c>
    </row>
    <row r="47" spans="3:19" ht="13.5" hidden="1" thickBot="1">
      <c r="C47" s="23">
        <f t="shared" si="1"/>
        <v>245.7874262679836</v>
      </c>
      <c r="E47" s="89">
        <f>D17</f>
        <v>105.31</v>
      </c>
      <c r="F47" s="266">
        <f>E47/100*G47*1.02*1.1</f>
        <v>26650.168161373345</v>
      </c>
      <c r="G47" s="264">
        <v>22554.722287</v>
      </c>
      <c r="H47" s="137" t="s">
        <v>1143</v>
      </c>
      <c r="I47" s="9"/>
      <c r="R47" s="312">
        <v>59963.416213000004</v>
      </c>
      <c r="S47" s="23">
        <v>100.00000000000003</v>
      </c>
    </row>
    <row r="48" spans="3:9" ht="13.5" hidden="1" thickBot="1">
      <c r="C48" s="23">
        <f t="shared" si="1"/>
        <v>1000</v>
      </c>
      <c r="E48" s="213">
        <f>D18</f>
        <v>105.59</v>
      </c>
      <c r="F48" s="269">
        <f>SUM(F41:F47)</f>
        <v>108427.71156371725</v>
      </c>
      <c r="G48" s="262">
        <f>SUM(G41:G47)</f>
        <v>83308.27540500001</v>
      </c>
      <c r="H48" s="216" t="s">
        <v>1159</v>
      </c>
      <c r="I48" s="9"/>
    </row>
    <row r="49" spans="3:18" ht="12.75" hidden="1">
      <c r="C49" s="23">
        <f>C48-C47</f>
        <v>754.2125737320164</v>
      </c>
      <c r="E49" s="4" t="s">
        <v>13</v>
      </c>
      <c r="G49" s="24">
        <f>F48/G48</f>
        <v>1.301523900676134</v>
      </c>
      <c r="H49" s="4" t="s">
        <v>1770</v>
      </c>
      <c r="I49" s="4"/>
      <c r="Q49" s="4" t="s">
        <v>1760</v>
      </c>
      <c r="R49" s="313">
        <v>40360</v>
      </c>
    </row>
    <row r="50" spans="6:19" ht="12.75" hidden="1">
      <c r="F50" s="4" t="s">
        <v>13</v>
      </c>
      <c r="Q50">
        <v>23</v>
      </c>
      <c r="R50" s="312">
        <v>38181.552146999995</v>
      </c>
      <c r="S50" s="23">
        <v>63.674744633249034</v>
      </c>
    </row>
    <row r="51" spans="5:19" ht="12.75" hidden="1">
      <c r="E51" s="4" t="s">
        <v>1156</v>
      </c>
      <c r="F51" s="331">
        <f>SUM(F41:F46)*H31/1000</f>
        <v>1554.4827615909485</v>
      </c>
      <c r="G51" s="330">
        <f>SUM(G41:G46)*H31/100</f>
        <v>11548.445587645785</v>
      </c>
      <c r="Q51">
        <v>13</v>
      </c>
      <c r="R51" s="312">
        <v>15502.290781</v>
      </c>
      <c r="S51" s="23">
        <v>25.85291459368041</v>
      </c>
    </row>
    <row r="52" spans="17:19" ht="12.75">
      <c r="Q52">
        <v>9</v>
      </c>
      <c r="R52" s="312">
        <v>6279.5732849999995</v>
      </c>
      <c r="S52" s="23">
        <v>10.472340773070558</v>
      </c>
    </row>
    <row r="53" spans="1:19" ht="12.75">
      <c r="A53" s="4" t="s">
        <v>13</v>
      </c>
      <c r="D53" s="4" t="s">
        <v>13</v>
      </c>
      <c r="R53" s="312">
        <v>59963.416213</v>
      </c>
      <c r="S53" s="23">
        <v>100</v>
      </c>
    </row>
    <row r="54" spans="4:6" ht="12.75">
      <c r="D54" s="4" t="s">
        <v>13</v>
      </c>
      <c r="F54" s="4"/>
    </row>
    <row r="55" spans="2:20" ht="12.75">
      <c r="B55" s="4" t="s">
        <v>13</v>
      </c>
      <c r="C55" s="243" t="s">
        <v>13</v>
      </c>
      <c r="D55" s="326" t="s">
        <v>13</v>
      </c>
      <c r="E55" t="s">
        <v>13</v>
      </c>
      <c r="F55" s="4"/>
      <c r="G55" s="303"/>
      <c r="T55" t="s">
        <v>13</v>
      </c>
    </row>
    <row r="56" spans="6:21" ht="12.75">
      <c r="F56" s="4"/>
      <c r="U56" t="s">
        <v>13</v>
      </c>
    </row>
  </sheetData>
  <sheetProtection/>
  <printOptions/>
  <pageMargins left="0.1968503937007874" right="0.1968503937007874" top="0.3937007874015748" bottom="0.1968503937007874" header="0.5118110236220472" footer="0.5118110236220472"/>
  <pageSetup horizontalDpi="600" verticalDpi="600" orientation="landscape" paperSize="9" scale="110" r:id="rId3"/>
  <legacyDrawing r:id="rId2"/>
</worksheet>
</file>

<file path=xl/worksheets/sheet7.xml><?xml version="1.0" encoding="utf-8"?>
<worksheet xmlns="http://schemas.openxmlformats.org/spreadsheetml/2006/main" xmlns:r="http://schemas.openxmlformats.org/officeDocument/2006/relationships">
  <dimension ref="A3:M55"/>
  <sheetViews>
    <sheetView zoomScalePageLayoutView="0" workbookViewId="0" topLeftCell="A1">
      <selection activeCell="E51" sqref="E51"/>
    </sheetView>
  </sheetViews>
  <sheetFormatPr defaultColWidth="9.140625" defaultRowHeight="12.75"/>
  <cols>
    <col min="1" max="1" width="8.7109375" style="0" customWidth="1"/>
    <col min="2" max="2" width="13.8515625" style="0" customWidth="1"/>
    <col min="4" max="4" width="7.8515625" style="0" customWidth="1"/>
    <col min="5" max="5" width="11.57421875" style="0" customWidth="1"/>
    <col min="6" max="6" width="13.140625" style="0" customWidth="1"/>
    <col min="7" max="7" width="12.00390625" style="0" customWidth="1"/>
    <col min="8" max="8" width="14.140625" style="0" customWidth="1"/>
    <col min="9" max="10" width="10.8515625" style="0" customWidth="1"/>
    <col min="11" max="11" width="14.7109375" style="0" customWidth="1"/>
    <col min="12" max="12" width="13.421875" style="0" customWidth="1"/>
  </cols>
  <sheetData>
    <row r="3" spans="1:12" ht="12.75">
      <c r="A3" s="121" t="s">
        <v>1201</v>
      </c>
      <c r="B3" s="145" t="s">
        <v>1189</v>
      </c>
      <c r="C3" s="144"/>
      <c r="D3" s="144"/>
      <c r="E3" s="121" t="s">
        <v>1201</v>
      </c>
      <c r="F3" s="145" t="s">
        <v>1190</v>
      </c>
      <c r="G3" s="144"/>
      <c r="H3" s="121" t="s">
        <v>1191</v>
      </c>
      <c r="I3" s="145" t="s">
        <v>1201</v>
      </c>
      <c r="J3" s="144"/>
      <c r="K3" s="121" t="s">
        <v>1193</v>
      </c>
      <c r="L3" s="145" t="s">
        <v>1201</v>
      </c>
    </row>
    <row r="4" spans="1:12" ht="12.75">
      <c r="A4" s="99"/>
      <c r="B4" s="135"/>
      <c r="E4" s="99"/>
      <c r="F4" s="135"/>
      <c r="H4" s="99"/>
      <c r="I4" s="135"/>
      <c r="J4" s="9"/>
      <c r="K4" s="99"/>
      <c r="L4" s="135"/>
    </row>
    <row r="5" spans="1:12" ht="12.75">
      <c r="A5" s="73" t="s">
        <v>13</v>
      </c>
      <c r="B5" s="135">
        <v>137519182.6</v>
      </c>
      <c r="E5" s="99"/>
      <c r="F5" s="135">
        <v>359904022.9</v>
      </c>
      <c r="H5" s="211">
        <v>303800000</v>
      </c>
      <c r="I5" s="135"/>
      <c r="J5" s="9"/>
      <c r="K5" s="99">
        <v>114787572.4</v>
      </c>
      <c r="L5" s="135"/>
    </row>
    <row r="6" spans="1:12" ht="12.75">
      <c r="A6" s="73"/>
      <c r="B6" s="135">
        <v>174230291.5</v>
      </c>
      <c r="E6" s="99"/>
      <c r="F6" s="135">
        <v>278727436.1</v>
      </c>
      <c r="H6" s="211">
        <v>860745600</v>
      </c>
      <c r="I6" s="135"/>
      <c r="J6" s="9"/>
      <c r="K6" s="251">
        <v>38000000</v>
      </c>
      <c r="L6" s="135"/>
    </row>
    <row r="7" spans="1:12" ht="12.75">
      <c r="A7" s="73"/>
      <c r="B7" s="135">
        <v>234224338.7</v>
      </c>
      <c r="E7" s="99"/>
      <c r="F7" s="135">
        <v>452173656.2</v>
      </c>
      <c r="H7" s="211">
        <v>340220150</v>
      </c>
      <c r="I7" s="135"/>
      <c r="J7" s="9"/>
      <c r="K7" s="251">
        <v>20564723.08</v>
      </c>
      <c r="L7" s="135"/>
    </row>
    <row r="8" spans="1:12" ht="12.75">
      <c r="A8" s="73"/>
      <c r="B8" s="135">
        <v>830412430.9</v>
      </c>
      <c r="E8" s="99"/>
      <c r="F8" s="246">
        <v>369870432</v>
      </c>
      <c r="H8" s="211">
        <v>1053220408</v>
      </c>
      <c r="I8" s="135"/>
      <c r="J8" s="9"/>
      <c r="K8" s="99">
        <v>103265270.2</v>
      </c>
      <c r="L8" s="135"/>
    </row>
    <row r="9" spans="1:12" ht="12.75">
      <c r="A9" s="73"/>
      <c r="B9" s="135">
        <v>40124773.5</v>
      </c>
      <c r="E9" s="99"/>
      <c r="F9" s="135">
        <v>453654522.9</v>
      </c>
      <c r="H9" s="211">
        <v>352962024.8</v>
      </c>
      <c r="I9" s="135"/>
      <c r="J9" s="9"/>
      <c r="K9" s="251">
        <v>67782824.85</v>
      </c>
      <c r="L9" s="135"/>
    </row>
    <row r="10" spans="1:12" ht="12.75">
      <c r="A10" s="73"/>
      <c r="B10" s="135">
        <v>80765493.9</v>
      </c>
      <c r="E10" s="99"/>
      <c r="F10" s="246">
        <v>80680482.71</v>
      </c>
      <c r="H10" s="211">
        <f>827000000*0.95</f>
        <v>785650000</v>
      </c>
      <c r="I10" s="135"/>
      <c r="J10" s="9"/>
      <c r="K10" s="251">
        <v>2163000000</v>
      </c>
      <c r="L10" s="135"/>
    </row>
    <row r="11" spans="1:12" ht="12.75">
      <c r="A11" s="73"/>
      <c r="B11" s="246">
        <v>1010522111</v>
      </c>
      <c r="E11" s="99"/>
      <c r="F11" s="246">
        <v>54505373.13</v>
      </c>
      <c r="H11" s="211">
        <v>8089029.64</v>
      </c>
      <c r="I11" s="135"/>
      <c r="J11" s="9"/>
      <c r="K11" s="99">
        <v>824682301.5</v>
      </c>
      <c r="L11" s="135"/>
    </row>
    <row r="12" spans="1:12" ht="12.75">
      <c r="A12" s="73"/>
      <c r="B12" s="246">
        <v>55000000</v>
      </c>
      <c r="E12" s="99"/>
      <c r="F12" s="246">
        <v>56184262.42</v>
      </c>
      <c r="H12" s="211">
        <v>93601628.69</v>
      </c>
      <c r="I12" s="135"/>
      <c r="J12" s="9"/>
      <c r="K12" s="99">
        <v>772671334.8</v>
      </c>
      <c r="L12" s="135"/>
    </row>
    <row r="13" spans="1:12" ht="12.75">
      <c r="A13" s="73"/>
      <c r="B13" s="246">
        <v>83995707.61</v>
      </c>
      <c r="E13" s="99"/>
      <c r="F13" s="135">
        <v>208277792.6</v>
      </c>
      <c r="H13" s="211">
        <v>31970926.68</v>
      </c>
      <c r="I13" s="135"/>
      <c r="J13" s="9"/>
      <c r="K13" s="99">
        <v>106535461.2</v>
      </c>
      <c r="L13" s="135"/>
    </row>
    <row r="14" spans="1:12" ht="12.75">
      <c r="A14" s="73"/>
      <c r="B14" s="135">
        <v>251530302.7</v>
      </c>
      <c r="C14" t="s">
        <v>1192</v>
      </c>
      <c r="E14" s="99"/>
      <c r="F14" s="135">
        <v>587392289.6</v>
      </c>
      <c r="H14" s="211">
        <v>359141840.9</v>
      </c>
      <c r="I14" s="135"/>
      <c r="J14" s="9"/>
      <c r="K14" s="251">
        <v>68179120</v>
      </c>
      <c r="L14" s="135"/>
    </row>
    <row r="15" spans="1:12" ht="12.75">
      <c r="A15" s="73"/>
      <c r="B15" s="135">
        <v>139666271.5</v>
      </c>
      <c r="C15" s="148">
        <f>251.53/385.192*100</f>
        <v>65.2999023863424</v>
      </c>
      <c r="D15" t="s">
        <v>18</v>
      </c>
      <c r="E15" s="99"/>
      <c r="F15" s="246">
        <v>299157146</v>
      </c>
      <c r="H15" s="211">
        <v>1401000000</v>
      </c>
      <c r="I15" s="135"/>
      <c r="J15" s="9"/>
      <c r="K15" s="251">
        <v>109861434</v>
      </c>
      <c r="L15" s="135"/>
    </row>
    <row r="16" spans="1:12" ht="12.75">
      <c r="A16" s="73"/>
      <c r="B16" s="246">
        <v>20564723.08</v>
      </c>
      <c r="E16" s="99"/>
      <c r="F16" s="246">
        <v>275493962</v>
      </c>
      <c r="H16" s="211">
        <v>61600000</v>
      </c>
      <c r="I16" s="135"/>
      <c r="J16" s="9"/>
      <c r="K16" s="251">
        <v>289602794</v>
      </c>
      <c r="L16" s="135"/>
    </row>
    <row r="17" spans="1:12" ht="12.75">
      <c r="A17" s="73"/>
      <c r="B17" s="135">
        <v>276078424.8</v>
      </c>
      <c r="E17" s="99"/>
      <c r="F17" s="135">
        <v>222728987.2</v>
      </c>
      <c r="H17" s="211">
        <v>220952942.7</v>
      </c>
      <c r="I17" s="135"/>
      <c r="J17" s="9"/>
      <c r="K17" s="251">
        <v>1112409337</v>
      </c>
      <c r="L17" s="135"/>
    </row>
    <row r="18" spans="1:12" ht="12.75">
      <c r="A18" s="73"/>
      <c r="B18" s="135">
        <v>381029576.7</v>
      </c>
      <c r="E18" s="99"/>
      <c r="F18" s="135">
        <v>644578760.8</v>
      </c>
      <c r="H18" s="211">
        <v>368815737.6</v>
      </c>
      <c r="I18" s="135"/>
      <c r="J18" s="9"/>
      <c r="K18" s="251">
        <v>309177000</v>
      </c>
      <c r="L18" s="135"/>
    </row>
    <row r="19" spans="1:12" ht="12.75">
      <c r="A19" s="73"/>
      <c r="B19" s="135">
        <v>398940002.8</v>
      </c>
      <c r="E19" s="99"/>
      <c r="F19" s="135"/>
      <c r="G19" t="s">
        <v>13</v>
      </c>
      <c r="H19" s="211">
        <v>10867428.57</v>
      </c>
      <c r="I19" s="135"/>
      <c r="J19" s="9"/>
      <c r="K19" s="251">
        <v>47411571.99</v>
      </c>
      <c r="L19" s="135"/>
    </row>
    <row r="20" spans="1:12" ht="12.75">
      <c r="A20" s="73"/>
      <c r="B20" s="135">
        <v>272143718.5</v>
      </c>
      <c r="E20" s="99"/>
      <c r="F20" s="247">
        <f>SUM(F5:F19)</f>
        <v>4343329126.559999</v>
      </c>
      <c r="H20" s="211">
        <v>346526020</v>
      </c>
      <c r="I20" s="135"/>
      <c r="J20" s="9"/>
      <c r="K20" s="252">
        <f>SUM(K5:K19)</f>
        <v>6147930745.0199995</v>
      </c>
      <c r="L20" s="85"/>
    </row>
    <row r="21" spans="1:10" ht="12.75">
      <c r="A21" s="73"/>
      <c r="B21" s="246">
        <v>487755749</v>
      </c>
      <c r="E21" s="99"/>
      <c r="F21" s="135"/>
      <c r="H21" s="211">
        <f>1872418262*0.85</f>
        <v>1591555522.7</v>
      </c>
      <c r="I21" s="135"/>
      <c r="J21" s="9"/>
    </row>
    <row r="22" spans="1:10" ht="12.75">
      <c r="A22" s="73"/>
      <c r="B22" s="246">
        <v>356000000</v>
      </c>
      <c r="E22" s="99"/>
      <c r="F22" s="135"/>
      <c r="H22" s="211">
        <v>482999686.8</v>
      </c>
      <c r="I22" s="135"/>
      <c r="J22" s="9"/>
    </row>
    <row r="23" spans="1:10" ht="12.75">
      <c r="A23" s="73"/>
      <c r="B23" s="246">
        <v>112000000</v>
      </c>
      <c r="E23" s="99"/>
      <c r="F23" s="135"/>
      <c r="H23" s="211">
        <v>290171083.3</v>
      </c>
      <c r="I23" s="135"/>
      <c r="J23" s="9"/>
    </row>
    <row r="24" spans="1:10" ht="12.75">
      <c r="A24" s="73"/>
      <c r="B24" s="246">
        <v>548000000</v>
      </c>
      <c r="E24" s="99"/>
      <c r="F24" s="135"/>
      <c r="H24" s="211">
        <v>437242391</v>
      </c>
      <c r="I24" s="135"/>
      <c r="J24" s="9"/>
    </row>
    <row r="25" spans="1:10" ht="12.75">
      <c r="A25" s="73"/>
      <c r="B25" s="246">
        <v>212000000</v>
      </c>
      <c r="E25" s="99"/>
      <c r="F25" s="135"/>
      <c r="H25" s="211">
        <v>477448993.4</v>
      </c>
      <c r="I25" s="135"/>
      <c r="J25" s="9"/>
    </row>
    <row r="26" spans="1:10" ht="12.75">
      <c r="A26" s="73"/>
      <c r="B26" s="246">
        <v>15400000</v>
      </c>
      <c r="E26" s="99"/>
      <c r="F26" s="135"/>
      <c r="H26" s="211">
        <v>1185813582</v>
      </c>
      <c r="I26" s="135"/>
      <c r="J26" s="9"/>
    </row>
    <row r="27" spans="1:10" ht="12.75">
      <c r="A27" s="73"/>
      <c r="B27" s="246">
        <v>61600000</v>
      </c>
      <c r="E27" s="99"/>
      <c r="F27" s="135"/>
      <c r="H27" s="211">
        <v>45863172</v>
      </c>
      <c r="I27" s="135" t="s">
        <v>1198</v>
      </c>
      <c r="J27" s="9"/>
    </row>
    <row r="28" spans="1:10" ht="12.75">
      <c r="A28" s="73"/>
      <c r="B28" s="246">
        <v>2896960703</v>
      </c>
      <c r="E28" s="99"/>
      <c r="F28" s="135"/>
      <c r="H28" s="211">
        <v>1010598936</v>
      </c>
      <c r="I28" s="135" t="s">
        <v>1197</v>
      </c>
      <c r="J28" s="9"/>
    </row>
    <row r="29" spans="1:10" ht="12.75">
      <c r="A29" s="73"/>
      <c r="B29" s="135">
        <v>769138353.7</v>
      </c>
      <c r="E29" s="99"/>
      <c r="F29" s="135"/>
      <c r="H29" s="211">
        <v>2066700124</v>
      </c>
      <c r="I29" s="135" t="s">
        <v>1196</v>
      </c>
      <c r="J29" s="9"/>
    </row>
    <row r="30" spans="1:10" ht="12.75">
      <c r="A30" s="73"/>
      <c r="B30" s="135">
        <v>276267143.2</v>
      </c>
      <c r="E30" s="99"/>
      <c r="F30" s="135"/>
      <c r="H30" s="211">
        <v>1257901956</v>
      </c>
      <c r="I30" s="135" t="s">
        <v>1195</v>
      </c>
      <c r="J30" s="9"/>
    </row>
    <row r="31" spans="1:13" ht="12.75">
      <c r="A31" s="73"/>
      <c r="B31" s="246">
        <v>1140674868</v>
      </c>
      <c r="E31" s="99"/>
      <c r="F31" s="135"/>
      <c r="H31" s="211">
        <v>5210347025</v>
      </c>
      <c r="I31" s="248" t="s">
        <v>1194</v>
      </c>
      <c r="J31" s="250"/>
      <c r="M31" t="s">
        <v>13</v>
      </c>
    </row>
    <row r="32" spans="1:10" ht="12.75">
      <c r="A32" s="73"/>
      <c r="B32" s="135">
        <v>402003301.8</v>
      </c>
      <c r="E32" s="83"/>
      <c r="F32" s="85"/>
      <c r="H32" s="253">
        <f>827000000*0.95</f>
        <v>785650000</v>
      </c>
      <c r="I32" s="69" t="s">
        <v>1200</v>
      </c>
      <c r="J32" s="9"/>
    </row>
    <row r="33" spans="1:10" ht="12.75">
      <c r="A33" s="73"/>
      <c r="B33" s="246">
        <v>40290444.09</v>
      </c>
      <c r="H33" s="135">
        <f>1872418262*0.85</f>
        <v>1591555522.7</v>
      </c>
      <c r="I33" s="69" t="s">
        <v>1199</v>
      </c>
      <c r="J33" t="s">
        <v>13</v>
      </c>
    </row>
    <row r="34" spans="1:9" ht="12.75">
      <c r="A34" s="73"/>
      <c r="B34" s="246">
        <v>73809740.32</v>
      </c>
      <c r="H34" s="249">
        <f>SUM(H5:H33)</f>
        <v>23033011732.48</v>
      </c>
      <c r="I34" s="85" t="s">
        <v>1202</v>
      </c>
    </row>
    <row r="35" spans="1:2" ht="12.75">
      <c r="A35" s="73"/>
      <c r="B35" s="135">
        <v>675567212.4</v>
      </c>
    </row>
    <row r="36" spans="1:2" ht="12.75">
      <c r="A36" s="73"/>
      <c r="B36" s="135">
        <v>338962561.3</v>
      </c>
    </row>
    <row r="37" spans="1:2" ht="12.75">
      <c r="A37" s="73"/>
      <c r="B37" s="135">
        <v>309102490.8</v>
      </c>
    </row>
    <row r="38" spans="1:2" ht="12.75">
      <c r="A38" s="73"/>
      <c r="B38" s="246">
        <v>58790488.04</v>
      </c>
    </row>
    <row r="39" spans="1:2" ht="12.75">
      <c r="A39" s="73"/>
      <c r="B39" s="246">
        <v>556618236</v>
      </c>
    </row>
    <row r="40" spans="1:2" ht="12.75">
      <c r="A40" s="73"/>
      <c r="B40" s="246">
        <v>264231331</v>
      </c>
    </row>
    <row r="41" spans="1:2" ht="12.75">
      <c r="A41" s="73"/>
      <c r="B41" s="135">
        <v>129703616.5</v>
      </c>
    </row>
    <row r="42" spans="1:2" ht="12.75">
      <c r="A42" s="73"/>
      <c r="B42" s="246">
        <v>1391005407</v>
      </c>
    </row>
    <row r="43" spans="1:2" ht="12.75">
      <c r="A43" s="73"/>
      <c r="B43" s="246">
        <v>1509710901</v>
      </c>
    </row>
    <row r="44" spans="1:2" ht="12.75">
      <c r="A44" s="73"/>
      <c r="B44" s="246">
        <v>121591062</v>
      </c>
    </row>
    <row r="45" spans="1:2" ht="12.75">
      <c r="A45" s="73"/>
      <c r="B45" s="246">
        <v>80141057.03</v>
      </c>
    </row>
    <row r="46" spans="1:2" ht="12.75">
      <c r="A46" s="73"/>
      <c r="B46" s="246">
        <v>421977221</v>
      </c>
    </row>
    <row r="47" spans="1:2" ht="12.75">
      <c r="A47" s="73"/>
      <c r="B47" s="135">
        <v>579807908.3</v>
      </c>
    </row>
    <row r="48" spans="1:2" ht="12.75">
      <c r="A48" s="73"/>
      <c r="B48" s="135">
        <v>188431624.8</v>
      </c>
    </row>
    <row r="49" spans="1:2" ht="12.75">
      <c r="A49" s="73"/>
      <c r="B49" s="246">
        <v>2626822045</v>
      </c>
    </row>
    <row r="50" spans="1:2" ht="12.75">
      <c r="A50" s="73"/>
      <c r="B50" s="246">
        <v>77319518.67</v>
      </c>
    </row>
    <row r="51" spans="1:2" ht="12.75">
      <c r="A51" s="73" t="s">
        <v>113</v>
      </c>
      <c r="B51" s="246">
        <v>3629203068</v>
      </c>
    </row>
    <row r="52" spans="1:4" ht="12.75">
      <c r="A52" s="73" t="s">
        <v>1199</v>
      </c>
      <c r="B52" s="135">
        <f>1872418262*0.15</f>
        <v>280862739.3</v>
      </c>
      <c r="C52" t="s">
        <v>1187</v>
      </c>
      <c r="D52" s="243">
        <v>0.15</v>
      </c>
    </row>
    <row r="53" spans="1:3" ht="12.75">
      <c r="A53" s="72" t="s">
        <v>1200</v>
      </c>
      <c r="B53" s="253">
        <f>827000000*0.05</f>
        <v>41350000</v>
      </c>
      <c r="C53" t="s">
        <v>1188</v>
      </c>
    </row>
    <row r="55" ht="12.75">
      <c r="B55" s="148">
        <f>SUM(B5:B54)</f>
        <v>25059846141.039997</v>
      </c>
    </row>
  </sheetData>
  <sheetProtection/>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3:J30"/>
  <sheetViews>
    <sheetView zoomScalePageLayoutView="0" workbookViewId="0" topLeftCell="A1">
      <selection activeCell="F24" sqref="F24"/>
    </sheetView>
  </sheetViews>
  <sheetFormatPr defaultColWidth="9.140625" defaultRowHeight="12.75"/>
  <cols>
    <col min="3" max="3" width="11.8515625" style="0" customWidth="1"/>
    <col min="5" max="6" width="11.421875" style="0" customWidth="1"/>
  </cols>
  <sheetData>
    <row r="3" spans="1:6" ht="12.75">
      <c r="A3" s="70"/>
      <c r="B3" s="49"/>
      <c r="C3" s="49"/>
      <c r="D3" s="136" t="s">
        <v>1180</v>
      </c>
      <c r="E3" s="49" t="s">
        <v>1167</v>
      </c>
      <c r="F3" s="136" t="s">
        <v>1167</v>
      </c>
    </row>
    <row r="4" spans="1:6" ht="12.75">
      <c r="A4" s="83"/>
      <c r="B4" s="19"/>
      <c r="C4" s="19"/>
      <c r="D4" s="138"/>
      <c r="E4" s="238">
        <v>2004</v>
      </c>
      <c r="F4" s="240">
        <v>2005</v>
      </c>
    </row>
    <row r="5" spans="1:6" ht="12.75">
      <c r="A5" s="241" t="s">
        <v>1170</v>
      </c>
      <c r="B5" s="49"/>
      <c r="C5" s="49"/>
      <c r="D5" s="136"/>
      <c r="E5" s="49"/>
      <c r="F5" s="136"/>
    </row>
    <row r="6" spans="1:6" ht="12.75">
      <c r="A6" s="99"/>
      <c r="B6" s="9"/>
      <c r="C6" s="9"/>
      <c r="D6" s="137"/>
      <c r="E6" s="9"/>
      <c r="F6" s="137"/>
    </row>
    <row r="7" spans="1:6" ht="12.75">
      <c r="A7" s="99" t="s">
        <v>1178</v>
      </c>
      <c r="B7" s="9"/>
      <c r="C7" s="9"/>
      <c r="D7" s="137" t="s">
        <v>1168</v>
      </c>
      <c r="E7" s="11">
        <v>44</v>
      </c>
      <c r="F7" s="242">
        <f>E7*1.047</f>
        <v>46.068</v>
      </c>
    </row>
    <row r="8" spans="1:6" ht="12.75">
      <c r="A8" s="99"/>
      <c r="B8" s="9"/>
      <c r="C8" s="9"/>
      <c r="D8" s="137"/>
      <c r="E8" s="9"/>
      <c r="F8" s="137" t="s">
        <v>13</v>
      </c>
    </row>
    <row r="9" spans="1:6" ht="12.75">
      <c r="A9" s="99"/>
      <c r="B9" s="9"/>
      <c r="C9" s="9"/>
      <c r="D9" s="137"/>
      <c r="E9" s="9"/>
      <c r="F9" s="137" t="s">
        <v>13</v>
      </c>
    </row>
    <row r="10" spans="1:6" ht="12.75">
      <c r="A10" s="99" t="s">
        <v>1179</v>
      </c>
      <c r="B10" s="9"/>
      <c r="C10" s="9"/>
      <c r="D10" s="137" t="s">
        <v>1168</v>
      </c>
      <c r="E10" s="11">
        <v>19</v>
      </c>
      <c r="F10" s="242">
        <f>E10*1.047</f>
        <v>19.892999999999997</v>
      </c>
    </row>
    <row r="11" spans="1:6" ht="12.75">
      <c r="A11" s="99"/>
      <c r="B11" s="9"/>
      <c r="C11" s="9"/>
      <c r="D11" s="137"/>
      <c r="E11" s="9"/>
      <c r="F11" s="137"/>
    </row>
    <row r="12" spans="1:7" ht="12.75">
      <c r="A12" s="99" t="s">
        <v>1183</v>
      </c>
      <c r="B12" s="9"/>
      <c r="C12" s="9"/>
      <c r="D12" s="137" t="s">
        <v>1177</v>
      </c>
      <c r="E12" s="9">
        <v>54.084282</v>
      </c>
      <c r="F12" s="137">
        <f>54.084282/3</f>
        <v>18.028094</v>
      </c>
      <c r="G12" t="s">
        <v>1184</v>
      </c>
    </row>
    <row r="13" spans="1:6" ht="12.75">
      <c r="A13" s="99" t="s">
        <v>1181</v>
      </c>
      <c r="B13" s="9"/>
      <c r="C13" s="9"/>
      <c r="D13" s="239" t="s">
        <v>1182</v>
      </c>
      <c r="E13" s="9"/>
      <c r="F13" s="137"/>
    </row>
    <row r="14" spans="1:6" ht="12.75">
      <c r="A14" s="99"/>
      <c r="B14" s="9"/>
      <c r="C14" s="9"/>
      <c r="D14" s="137"/>
      <c r="E14" s="9"/>
      <c r="F14" s="137"/>
    </row>
    <row r="15" spans="1:6" ht="12.75">
      <c r="A15" s="99" t="s">
        <v>1164</v>
      </c>
      <c r="B15" s="9"/>
      <c r="C15" s="9"/>
      <c r="D15" s="137" t="s">
        <v>1168</v>
      </c>
      <c r="E15" s="11">
        <v>728</v>
      </c>
      <c r="F15" s="137"/>
    </row>
    <row r="16" spans="1:6" ht="12.75">
      <c r="A16" s="99"/>
      <c r="B16" s="9"/>
      <c r="C16" s="9"/>
      <c r="D16" s="137" t="s">
        <v>1177</v>
      </c>
      <c r="E16" s="9">
        <v>772.671335</v>
      </c>
      <c r="F16" s="137"/>
    </row>
    <row r="17" spans="1:6" ht="12.75">
      <c r="A17" s="99" t="s">
        <v>1165</v>
      </c>
      <c r="B17" s="9"/>
      <c r="C17" s="9"/>
      <c r="D17" s="137" t="s">
        <v>1169</v>
      </c>
      <c r="E17" s="11">
        <f>104*2381500/1000000</f>
        <v>247.676</v>
      </c>
      <c r="F17" s="137"/>
    </row>
    <row r="18" spans="1:6" ht="12.75">
      <c r="A18" s="83" t="s">
        <v>1166</v>
      </c>
      <c r="B18" s="19"/>
      <c r="C18" s="19"/>
      <c r="D18" s="138" t="s">
        <v>1169</v>
      </c>
      <c r="E18" s="20">
        <f>122*2381500/1000000</f>
        <v>290.543</v>
      </c>
      <c r="F18" s="138"/>
    </row>
    <row r="19" spans="1:6" ht="12.75">
      <c r="A19" s="99"/>
      <c r="B19" s="9"/>
      <c r="C19" s="9"/>
      <c r="D19" s="137"/>
      <c r="E19" s="9"/>
      <c r="F19" s="137"/>
    </row>
    <row r="20" spans="1:6" ht="12.75">
      <c r="A20" s="237" t="s">
        <v>1171</v>
      </c>
      <c r="B20" s="9"/>
      <c r="C20" s="9"/>
      <c r="D20" s="137" t="s">
        <v>1177</v>
      </c>
      <c r="E20" s="9">
        <v>219.556366</v>
      </c>
      <c r="F20" s="137">
        <v>219.556366</v>
      </c>
    </row>
    <row r="21" spans="1:6" ht="12.75">
      <c r="A21" s="99" t="s">
        <v>1172</v>
      </c>
      <c r="B21" s="9"/>
      <c r="C21" s="9"/>
      <c r="D21" s="137"/>
      <c r="E21" s="9"/>
      <c r="F21" s="137"/>
    </row>
    <row r="22" spans="1:6" ht="12.75">
      <c r="A22" s="99"/>
      <c r="B22" s="9"/>
      <c r="C22" s="9"/>
      <c r="D22" s="137"/>
      <c r="E22" s="9"/>
      <c r="F22" s="137"/>
    </row>
    <row r="23" spans="1:6" ht="12.75">
      <c r="A23" s="241" t="s">
        <v>1174</v>
      </c>
      <c r="B23" s="49"/>
      <c r="C23" s="49"/>
      <c r="D23" s="136" t="s">
        <v>1168</v>
      </c>
      <c r="E23" s="50">
        <v>161</v>
      </c>
      <c r="F23" s="136"/>
    </row>
    <row r="24" spans="1:6" ht="12.75">
      <c r="A24" s="99" t="s">
        <v>1173</v>
      </c>
      <c r="B24" s="9"/>
      <c r="C24" s="9"/>
      <c r="D24" s="137" t="s">
        <v>1177</v>
      </c>
      <c r="E24" s="9">
        <v>173.592173</v>
      </c>
      <c r="F24" s="137">
        <v>173.592173</v>
      </c>
    </row>
    <row r="25" spans="1:6" ht="12.75">
      <c r="A25" s="83"/>
      <c r="B25" s="19"/>
      <c r="C25" s="19"/>
      <c r="D25" s="138"/>
      <c r="E25" s="19"/>
      <c r="F25" s="138"/>
    </row>
    <row r="26" spans="1:6" ht="12.75">
      <c r="A26" s="237" t="s">
        <v>1175</v>
      </c>
      <c r="B26" s="9"/>
      <c r="C26" s="9"/>
      <c r="D26" s="137" t="s">
        <v>1185</v>
      </c>
      <c r="E26" s="9"/>
      <c r="F26" s="137"/>
    </row>
    <row r="27" spans="1:6" ht="12.75">
      <c r="A27" s="99"/>
      <c r="B27" s="9"/>
      <c r="C27" s="9"/>
      <c r="D27" s="137"/>
      <c r="E27" s="9"/>
      <c r="F27" s="137"/>
    </row>
    <row r="28" spans="1:6" ht="12.75">
      <c r="A28" s="241" t="s">
        <v>1176</v>
      </c>
      <c r="B28" s="49"/>
      <c r="C28" s="49"/>
      <c r="D28" s="136" t="s">
        <v>1168</v>
      </c>
      <c r="E28" s="50">
        <v>576</v>
      </c>
      <c r="F28" s="136"/>
    </row>
    <row r="29" spans="1:10" ht="12.75">
      <c r="A29" s="99"/>
      <c r="B29" s="9"/>
      <c r="C29" s="9"/>
      <c r="D29" s="137" t="s">
        <v>1177</v>
      </c>
      <c r="E29" s="9">
        <v>603.158389</v>
      </c>
      <c r="F29" s="137">
        <v>603.158389</v>
      </c>
      <c r="J29">
        <f>E29/E28*100-100</f>
        <v>4.714998090277774</v>
      </c>
    </row>
    <row r="30" spans="1:6" ht="12.75">
      <c r="A30" s="83"/>
      <c r="B30" s="19"/>
      <c r="C30" s="19"/>
      <c r="D30" s="138"/>
      <c r="E30" s="19"/>
      <c r="F30" s="138"/>
    </row>
  </sheetData>
  <sheetProtection/>
  <printOptions/>
  <pageMargins left="1.1811023622047245" right="0.7874015748031497" top="0.1968503937007874" bottom="0.1968503937007874" header="0.5118110236220472" footer="0.5118110236220472"/>
  <pageSetup horizontalDpi="600" verticalDpi="600" orientation="landscape" paperSize="9" scale="140" r:id="rId1"/>
</worksheet>
</file>

<file path=xl/worksheets/sheet9.xml><?xml version="1.0" encoding="utf-8"?>
<worksheet xmlns="http://schemas.openxmlformats.org/spreadsheetml/2006/main" xmlns:r="http://schemas.openxmlformats.org/officeDocument/2006/relationships">
  <dimension ref="A1:P230"/>
  <sheetViews>
    <sheetView zoomScalePageLayoutView="0" workbookViewId="0" topLeftCell="A190">
      <selection activeCell="D199" sqref="D199"/>
    </sheetView>
  </sheetViews>
  <sheetFormatPr defaultColWidth="9.140625" defaultRowHeight="12.75"/>
  <cols>
    <col min="2" max="2" width="22.7109375" style="0" customWidth="1"/>
    <col min="3" max="3" width="18.421875" style="0" customWidth="1"/>
    <col min="5" max="5" width="15.57421875" style="0" customWidth="1"/>
    <col min="7" max="7" width="22.421875" style="0" customWidth="1"/>
    <col min="8" max="8" width="17.7109375" style="0" customWidth="1"/>
    <col min="10" max="10" width="15.57421875" style="0" customWidth="1"/>
    <col min="12" max="12" width="28.28125" style="0" customWidth="1"/>
    <col min="13" max="13" width="17.421875" style="0" customWidth="1"/>
    <col min="15" max="15" width="17.00390625" style="0" customWidth="1"/>
  </cols>
  <sheetData>
    <row r="1" spans="1:14" ht="12.75">
      <c r="A1" t="s">
        <v>460</v>
      </c>
      <c r="B1" t="s">
        <v>461</v>
      </c>
      <c r="C1" s="301">
        <v>458236910</v>
      </c>
      <c r="D1">
        <v>23</v>
      </c>
      <c r="F1" t="s">
        <v>149</v>
      </c>
      <c r="G1" t="s">
        <v>152</v>
      </c>
      <c r="H1" s="301">
        <v>27767870</v>
      </c>
      <c r="I1">
        <v>13</v>
      </c>
      <c r="K1" t="s">
        <v>590</v>
      </c>
      <c r="L1" t="s">
        <v>1223</v>
      </c>
      <c r="M1" s="301">
        <v>3135739531</v>
      </c>
      <c r="N1">
        <v>0</v>
      </c>
    </row>
    <row r="2" spans="1:14" ht="12.75">
      <c r="A2" t="s">
        <v>1224</v>
      </c>
      <c r="B2" t="s">
        <v>1225</v>
      </c>
      <c r="C2" s="301">
        <v>354336319</v>
      </c>
      <c r="D2">
        <v>23</v>
      </c>
      <c r="F2" t="s">
        <v>153</v>
      </c>
      <c r="G2" t="s">
        <v>1226</v>
      </c>
      <c r="H2" s="301">
        <v>31448351</v>
      </c>
      <c r="I2">
        <v>13</v>
      </c>
      <c r="K2" t="s">
        <v>1227</v>
      </c>
      <c r="L2" t="s">
        <v>1228</v>
      </c>
      <c r="M2" s="301">
        <v>2851924267</v>
      </c>
      <c r="N2">
        <v>0</v>
      </c>
    </row>
    <row r="3" spans="1:14" ht="12.75">
      <c r="A3" t="s">
        <v>462</v>
      </c>
      <c r="B3" t="s">
        <v>1229</v>
      </c>
      <c r="C3" s="301">
        <v>635336263</v>
      </c>
      <c r="D3">
        <v>23</v>
      </c>
      <c r="F3" t="s">
        <v>167</v>
      </c>
      <c r="G3" t="s">
        <v>208</v>
      </c>
      <c r="H3" s="301">
        <v>40942783</v>
      </c>
      <c r="I3">
        <v>13</v>
      </c>
      <c r="K3" t="s">
        <v>1230</v>
      </c>
      <c r="L3" t="s">
        <v>1231</v>
      </c>
      <c r="M3" s="301">
        <v>151752743</v>
      </c>
      <c r="N3">
        <v>0</v>
      </c>
    </row>
    <row r="4" spans="1:14" ht="12.75">
      <c r="A4" t="s">
        <v>1232</v>
      </c>
      <c r="B4" t="s">
        <v>465</v>
      </c>
      <c r="C4" s="301">
        <v>221210002</v>
      </c>
      <c r="D4">
        <v>23</v>
      </c>
      <c r="F4" t="s">
        <v>185</v>
      </c>
      <c r="G4" t="s">
        <v>1233</v>
      </c>
      <c r="H4" s="301">
        <v>176314954</v>
      </c>
      <c r="I4">
        <v>13</v>
      </c>
      <c r="K4" t="s">
        <v>592</v>
      </c>
      <c r="L4" t="s">
        <v>1234</v>
      </c>
      <c r="M4" s="301">
        <v>1732689880</v>
      </c>
      <c r="N4">
        <v>0</v>
      </c>
    </row>
    <row r="5" spans="1:14" ht="12.75">
      <c r="A5" t="s">
        <v>1235</v>
      </c>
      <c r="B5" t="s">
        <v>1236</v>
      </c>
      <c r="C5" s="301">
        <v>55693197</v>
      </c>
      <c r="D5">
        <v>23</v>
      </c>
      <c r="F5" t="s">
        <v>187</v>
      </c>
      <c r="G5" t="s">
        <v>1237</v>
      </c>
      <c r="H5" s="301">
        <v>174002266</v>
      </c>
      <c r="I5">
        <v>13</v>
      </c>
      <c r="K5" t="s">
        <v>594</v>
      </c>
      <c r="L5" t="s">
        <v>1238</v>
      </c>
      <c r="M5" s="301">
        <v>3317712087</v>
      </c>
      <c r="N5">
        <v>0</v>
      </c>
    </row>
    <row r="6" spans="1:14" ht="12.75">
      <c r="A6" t="s">
        <v>1239</v>
      </c>
      <c r="B6" t="s">
        <v>1240</v>
      </c>
      <c r="C6" s="301">
        <v>224004114</v>
      </c>
      <c r="D6">
        <v>23</v>
      </c>
      <c r="F6" t="s">
        <v>189</v>
      </c>
      <c r="G6" t="s">
        <v>1241</v>
      </c>
      <c r="H6" s="301">
        <v>165582929</v>
      </c>
      <c r="I6">
        <v>13</v>
      </c>
      <c r="K6" t="s">
        <v>606</v>
      </c>
      <c r="L6" t="s">
        <v>1242</v>
      </c>
      <c r="M6" s="301">
        <v>1052912520</v>
      </c>
      <c r="N6">
        <v>0</v>
      </c>
    </row>
    <row r="7" spans="1:14" ht="12.75">
      <c r="A7" t="s">
        <v>466</v>
      </c>
      <c r="B7" t="s">
        <v>467</v>
      </c>
      <c r="C7" s="301">
        <v>1402731621</v>
      </c>
      <c r="D7">
        <v>23</v>
      </c>
      <c r="F7" t="s">
        <v>1243</v>
      </c>
      <c r="G7" t="s">
        <v>1244</v>
      </c>
      <c r="H7" s="301">
        <v>67272470</v>
      </c>
      <c r="I7">
        <v>13</v>
      </c>
      <c r="K7" s="4" t="s">
        <v>632</v>
      </c>
      <c r="L7" t="s">
        <v>633</v>
      </c>
      <c r="M7" s="301">
        <v>1252782966</v>
      </c>
      <c r="N7">
        <v>0</v>
      </c>
    </row>
    <row r="8" spans="1:14" ht="12.75">
      <c r="A8" t="s">
        <v>1245</v>
      </c>
      <c r="B8" t="s">
        <v>1246</v>
      </c>
      <c r="C8" s="301">
        <v>16921244</v>
      </c>
      <c r="D8">
        <v>23</v>
      </c>
      <c r="F8" t="s">
        <v>191</v>
      </c>
      <c r="G8" t="s">
        <v>1247</v>
      </c>
      <c r="H8" s="301">
        <v>128507999</v>
      </c>
      <c r="I8">
        <v>13</v>
      </c>
      <c r="K8" t="s">
        <v>762</v>
      </c>
      <c r="L8" t="s">
        <v>763</v>
      </c>
      <c r="M8" s="301">
        <v>119253434</v>
      </c>
      <c r="N8">
        <v>0</v>
      </c>
    </row>
    <row r="9" spans="1:14" ht="12.75">
      <c r="A9" t="s">
        <v>468</v>
      </c>
      <c r="B9" t="s">
        <v>469</v>
      </c>
      <c r="C9" s="301">
        <v>1177949465</v>
      </c>
      <c r="D9">
        <v>23</v>
      </c>
      <c r="F9" t="s">
        <v>193</v>
      </c>
      <c r="G9" t="s">
        <v>166</v>
      </c>
      <c r="H9" s="301">
        <v>32668261</v>
      </c>
      <c r="I9">
        <v>13</v>
      </c>
      <c r="K9" t="s">
        <v>764</v>
      </c>
      <c r="L9" t="s">
        <v>767</v>
      </c>
      <c r="M9" s="301">
        <v>94273940</v>
      </c>
      <c r="N9">
        <v>0</v>
      </c>
    </row>
    <row r="10" spans="1:14" ht="12.75">
      <c r="A10" t="s">
        <v>470</v>
      </c>
      <c r="B10" t="s">
        <v>471</v>
      </c>
      <c r="C10" s="301">
        <v>67395845</v>
      </c>
      <c r="D10">
        <v>23</v>
      </c>
      <c r="F10" t="s">
        <v>201</v>
      </c>
      <c r="G10" t="s">
        <v>168</v>
      </c>
      <c r="H10" s="301">
        <v>62769652</v>
      </c>
      <c r="I10">
        <v>13</v>
      </c>
      <c r="K10" t="s">
        <v>1248</v>
      </c>
      <c r="L10" t="s">
        <v>765</v>
      </c>
      <c r="M10" s="301">
        <v>288223511</v>
      </c>
      <c r="N10">
        <v>0</v>
      </c>
    </row>
    <row r="11" spans="1:14" ht="12.75">
      <c r="A11" t="s">
        <v>472</v>
      </c>
      <c r="B11" t="s">
        <v>473</v>
      </c>
      <c r="C11" s="301">
        <v>124234254</v>
      </c>
      <c r="D11">
        <v>23</v>
      </c>
      <c r="F11" t="s">
        <v>203</v>
      </c>
      <c r="G11" t="s">
        <v>1249</v>
      </c>
      <c r="H11" s="301">
        <v>219562621</v>
      </c>
      <c r="I11">
        <v>13</v>
      </c>
      <c r="K11" t="s">
        <v>768</v>
      </c>
      <c r="L11" t="s">
        <v>769</v>
      </c>
      <c r="M11" s="301">
        <v>456913408</v>
      </c>
      <c r="N11">
        <v>0</v>
      </c>
    </row>
    <row r="12" spans="1:14" ht="12.75">
      <c r="A12" t="s">
        <v>476</v>
      </c>
      <c r="B12" t="s">
        <v>503</v>
      </c>
      <c r="C12" s="301">
        <v>43401714</v>
      </c>
      <c r="D12">
        <v>23</v>
      </c>
      <c r="F12" t="s">
        <v>205</v>
      </c>
      <c r="G12" t="s">
        <v>1250</v>
      </c>
      <c r="H12" s="301">
        <v>71947850</v>
      </c>
      <c r="I12">
        <v>13</v>
      </c>
      <c r="K12" t="s">
        <v>770</v>
      </c>
      <c r="L12" t="s">
        <v>771</v>
      </c>
      <c r="M12" s="301">
        <v>198539273</v>
      </c>
      <c r="N12">
        <v>0</v>
      </c>
    </row>
    <row r="13" spans="1:14" ht="12.75">
      <c r="A13" t="s">
        <v>478</v>
      </c>
      <c r="B13" t="s">
        <v>1251</v>
      </c>
      <c r="C13" s="301">
        <v>26601051</v>
      </c>
      <c r="D13">
        <v>23</v>
      </c>
      <c r="F13" t="s">
        <v>1252</v>
      </c>
      <c r="G13" t="s">
        <v>172</v>
      </c>
      <c r="H13" s="301">
        <v>64886466</v>
      </c>
      <c r="I13">
        <v>13</v>
      </c>
      <c r="K13" t="s">
        <v>1253</v>
      </c>
      <c r="L13" t="s">
        <v>775</v>
      </c>
      <c r="M13" s="301">
        <v>763294281</v>
      </c>
      <c r="N13">
        <v>0</v>
      </c>
    </row>
    <row r="14" spans="1:14" ht="12.75">
      <c r="A14" t="s">
        <v>480</v>
      </c>
      <c r="B14" t="s">
        <v>1254</v>
      </c>
      <c r="C14" s="301">
        <v>53618083</v>
      </c>
      <c r="D14">
        <v>23</v>
      </c>
      <c r="F14" t="s">
        <v>207</v>
      </c>
      <c r="G14" t="s">
        <v>154</v>
      </c>
      <c r="H14" s="301">
        <v>70538691</v>
      </c>
      <c r="I14">
        <v>13</v>
      </c>
      <c r="K14" s="4" t="s">
        <v>1255</v>
      </c>
      <c r="L14" t="s">
        <v>811</v>
      </c>
      <c r="M14" s="301">
        <v>641572596</v>
      </c>
      <c r="N14">
        <v>0</v>
      </c>
    </row>
    <row r="15" spans="1:14" ht="12.75">
      <c r="A15" t="s">
        <v>1256</v>
      </c>
      <c r="B15" t="s">
        <v>479</v>
      </c>
      <c r="C15" s="301">
        <v>38425007</v>
      </c>
      <c r="D15">
        <v>23</v>
      </c>
      <c r="F15" t="s">
        <v>1257</v>
      </c>
      <c r="G15" t="s">
        <v>1258</v>
      </c>
      <c r="H15" s="301">
        <v>21737807</v>
      </c>
      <c r="I15">
        <v>13</v>
      </c>
      <c r="K15" s="4" t="s">
        <v>1259</v>
      </c>
      <c r="L15" t="s">
        <v>1260</v>
      </c>
      <c r="M15" s="301">
        <v>38355692</v>
      </c>
      <c r="N15">
        <v>0</v>
      </c>
    </row>
    <row r="16" spans="1:15" ht="12.75">
      <c r="A16" t="s">
        <v>1261</v>
      </c>
      <c r="B16" t="s">
        <v>1262</v>
      </c>
      <c r="C16" s="301">
        <v>87477260</v>
      </c>
      <c r="D16">
        <v>23</v>
      </c>
      <c r="F16" t="s">
        <v>1263</v>
      </c>
      <c r="G16" t="s">
        <v>1264</v>
      </c>
      <c r="H16" s="301">
        <v>60413238</v>
      </c>
      <c r="I16">
        <v>13</v>
      </c>
      <c r="K16" t="s">
        <v>1265</v>
      </c>
      <c r="L16" t="s">
        <v>1266</v>
      </c>
      <c r="M16" s="301">
        <v>403840080</v>
      </c>
      <c r="N16">
        <v>0</v>
      </c>
      <c r="O16" t="s">
        <v>1267</v>
      </c>
    </row>
    <row r="17" spans="1:15" ht="12.75">
      <c r="A17" t="s">
        <v>484</v>
      </c>
      <c r="B17" t="s">
        <v>1268</v>
      </c>
      <c r="C17" s="301">
        <v>9405439</v>
      </c>
      <c r="D17">
        <v>23</v>
      </c>
      <c r="F17" t="s">
        <v>1269</v>
      </c>
      <c r="G17" t="s">
        <v>1270</v>
      </c>
      <c r="H17" s="301">
        <v>57840400</v>
      </c>
      <c r="I17">
        <v>13</v>
      </c>
      <c r="K17" t="s">
        <v>834</v>
      </c>
      <c r="L17" t="s">
        <v>1271</v>
      </c>
      <c r="M17" s="301">
        <v>242911821</v>
      </c>
      <c r="N17">
        <v>0</v>
      </c>
      <c r="O17" t="s">
        <v>1267</v>
      </c>
    </row>
    <row r="18" spans="1:14" ht="12.75">
      <c r="A18" t="s">
        <v>486</v>
      </c>
      <c r="B18" t="s">
        <v>1272</v>
      </c>
      <c r="C18" s="301">
        <v>134934878</v>
      </c>
      <c r="D18">
        <v>23</v>
      </c>
      <c r="F18" t="s">
        <v>1273</v>
      </c>
      <c r="G18" t="s">
        <v>184</v>
      </c>
      <c r="H18" s="301">
        <v>109604109</v>
      </c>
      <c r="I18">
        <v>13</v>
      </c>
      <c r="K18" s="4" t="s">
        <v>972</v>
      </c>
      <c r="L18" t="s">
        <v>973</v>
      </c>
      <c r="M18" s="301">
        <v>1580732159</v>
      </c>
      <c r="N18">
        <v>0</v>
      </c>
    </row>
    <row r="19" spans="1:15" ht="12.75">
      <c r="A19" t="s">
        <v>488</v>
      </c>
      <c r="B19" t="s">
        <v>1274</v>
      </c>
      <c r="C19" s="301">
        <v>17357030</v>
      </c>
      <c r="D19">
        <v>23</v>
      </c>
      <c r="F19" t="s">
        <v>1275</v>
      </c>
      <c r="G19" t="s">
        <v>180</v>
      </c>
      <c r="H19" s="301">
        <v>39496346</v>
      </c>
      <c r="I19">
        <v>13</v>
      </c>
      <c r="K19" t="s">
        <v>1281</v>
      </c>
      <c r="L19" t="s">
        <v>1282</v>
      </c>
      <c r="M19" s="301">
        <v>981250895</v>
      </c>
      <c r="N19">
        <v>0</v>
      </c>
      <c r="O19" t="s">
        <v>1267</v>
      </c>
    </row>
    <row r="20" spans="1:15" ht="12.75">
      <c r="A20" t="s">
        <v>502</v>
      </c>
      <c r="B20" t="s">
        <v>1276</v>
      </c>
      <c r="C20" s="301">
        <v>121029593</v>
      </c>
      <c r="D20">
        <v>23</v>
      </c>
      <c r="F20" t="s">
        <v>1277</v>
      </c>
      <c r="G20" t="s">
        <v>186</v>
      </c>
      <c r="H20" s="301">
        <v>16180783</v>
      </c>
      <c r="I20">
        <v>13</v>
      </c>
      <c r="K20" t="s">
        <v>1286</v>
      </c>
      <c r="L20" t="s">
        <v>1287</v>
      </c>
      <c r="M20" s="301">
        <v>64421970</v>
      </c>
      <c r="N20">
        <v>0</v>
      </c>
      <c r="O20" t="s">
        <v>1267</v>
      </c>
    </row>
    <row r="21" spans="1:14" ht="12.75">
      <c r="A21" t="s">
        <v>504</v>
      </c>
      <c r="B21" t="s">
        <v>1279</v>
      </c>
      <c r="C21" s="301">
        <v>181544389</v>
      </c>
      <c r="D21">
        <v>23</v>
      </c>
      <c r="F21" t="s">
        <v>1280</v>
      </c>
      <c r="G21" t="s">
        <v>188</v>
      </c>
      <c r="H21" s="301">
        <v>15877988</v>
      </c>
      <c r="I21">
        <v>13</v>
      </c>
      <c r="K21" t="s">
        <v>1292</v>
      </c>
      <c r="L21" t="s">
        <v>1293</v>
      </c>
      <c r="M21" s="301">
        <v>84697212</v>
      </c>
      <c r="N21">
        <v>0</v>
      </c>
    </row>
    <row r="22" spans="1:14" ht="12.75">
      <c r="A22" t="s">
        <v>1283</v>
      </c>
      <c r="B22" t="s">
        <v>497</v>
      </c>
      <c r="C22" s="301">
        <v>183105809</v>
      </c>
      <c r="D22">
        <v>23</v>
      </c>
      <c r="F22" t="s">
        <v>1284</v>
      </c>
      <c r="G22" t="s">
        <v>1285</v>
      </c>
      <c r="H22" s="301">
        <v>25622577</v>
      </c>
      <c r="I22">
        <v>13</v>
      </c>
      <c r="K22" t="s">
        <v>1297</v>
      </c>
      <c r="L22" t="s">
        <v>1298</v>
      </c>
      <c r="M22" s="301">
        <v>338758533</v>
      </c>
      <c r="N22">
        <v>0</v>
      </c>
    </row>
    <row r="23" spans="1:14" ht="12.75">
      <c r="A23" t="s">
        <v>1288</v>
      </c>
      <c r="B23" t="s">
        <v>1289</v>
      </c>
      <c r="C23" s="301">
        <v>117562959</v>
      </c>
      <c r="D23">
        <v>23</v>
      </c>
      <c r="F23" t="s">
        <v>1290</v>
      </c>
      <c r="G23" t="s">
        <v>1291</v>
      </c>
      <c r="H23" s="301">
        <v>47039483</v>
      </c>
      <c r="I23">
        <v>13</v>
      </c>
      <c r="K23" t="s">
        <v>1107</v>
      </c>
      <c r="L23" t="s">
        <v>1108</v>
      </c>
      <c r="M23" s="301">
        <v>927371190</v>
      </c>
      <c r="N23">
        <v>0</v>
      </c>
    </row>
    <row r="24" spans="1:14" ht="12.75">
      <c r="A24" t="s">
        <v>508</v>
      </c>
      <c r="B24" t="s">
        <v>1294</v>
      </c>
      <c r="C24" s="301">
        <v>122844529</v>
      </c>
      <c r="D24">
        <v>23</v>
      </c>
      <c r="F24" t="s">
        <v>1295</v>
      </c>
      <c r="G24" t="s">
        <v>1296</v>
      </c>
      <c r="H24" s="301">
        <v>24770366</v>
      </c>
      <c r="I24">
        <v>13</v>
      </c>
      <c r="K24" t="s">
        <v>1303</v>
      </c>
      <c r="L24" t="s">
        <v>1110</v>
      </c>
      <c r="M24" s="301">
        <v>559523158</v>
      </c>
      <c r="N24">
        <v>0</v>
      </c>
    </row>
    <row r="25" spans="1:16" ht="12.75">
      <c r="A25" t="s">
        <v>510</v>
      </c>
      <c r="B25" t="s">
        <v>539</v>
      </c>
      <c r="C25" s="301">
        <v>33471003</v>
      </c>
      <c r="D25">
        <v>23</v>
      </c>
      <c r="F25" t="s">
        <v>1299</v>
      </c>
      <c r="G25" t="s">
        <v>1300</v>
      </c>
      <c r="H25" s="301">
        <v>114237843</v>
      </c>
      <c r="I25">
        <v>13</v>
      </c>
      <c r="K25" t="s">
        <v>1119</v>
      </c>
      <c r="L25" t="s">
        <v>1120</v>
      </c>
      <c r="M25" s="301">
        <v>16502383</v>
      </c>
      <c r="N25">
        <v>0</v>
      </c>
      <c r="O25" s="311" t="s">
        <v>13</v>
      </c>
      <c r="P25" s="4" t="s">
        <v>13</v>
      </c>
    </row>
    <row r="26" spans="1:14" ht="12.75">
      <c r="A26" t="s">
        <v>512</v>
      </c>
      <c r="B26" t="s">
        <v>1301</v>
      </c>
      <c r="C26" s="301">
        <v>60586049</v>
      </c>
      <c r="D26">
        <v>23</v>
      </c>
      <c r="F26" t="s">
        <v>209</v>
      </c>
      <c r="G26" t="s">
        <v>1302</v>
      </c>
      <c r="H26" s="301">
        <v>42083908</v>
      </c>
      <c r="I26">
        <v>13</v>
      </c>
      <c r="K26" t="s">
        <v>1121</v>
      </c>
      <c r="L26" t="s">
        <v>1126</v>
      </c>
      <c r="M26" s="301">
        <v>907057252</v>
      </c>
      <c r="N26">
        <v>0</v>
      </c>
    </row>
    <row r="27" spans="1:16" ht="12.75">
      <c r="A27" t="s">
        <v>514</v>
      </c>
      <c r="B27" t="s">
        <v>1304</v>
      </c>
      <c r="C27" s="301">
        <v>60939521</v>
      </c>
      <c r="D27">
        <v>23</v>
      </c>
      <c r="F27" t="s">
        <v>211</v>
      </c>
      <c r="G27" t="s">
        <v>1305</v>
      </c>
      <c r="H27" s="301">
        <v>47571789</v>
      </c>
      <c r="I27">
        <v>13</v>
      </c>
      <c r="K27" s="141" t="s">
        <v>1312</v>
      </c>
      <c r="L27" s="9" t="s">
        <v>1313</v>
      </c>
      <c r="M27" s="309">
        <v>114487512</v>
      </c>
      <c r="N27" s="9">
        <v>0</v>
      </c>
      <c r="O27" s="9"/>
      <c r="P27" s="9"/>
    </row>
    <row r="28" spans="1:16" ht="12.75">
      <c r="A28" t="s">
        <v>1306</v>
      </c>
      <c r="B28" t="s">
        <v>1307</v>
      </c>
      <c r="C28" s="301">
        <v>54917143</v>
      </c>
      <c r="D28">
        <v>23</v>
      </c>
      <c r="F28" t="s">
        <v>213</v>
      </c>
      <c r="G28" t="s">
        <v>1308</v>
      </c>
      <c r="H28" s="301">
        <v>31095646</v>
      </c>
      <c r="I28">
        <v>13</v>
      </c>
      <c r="K28" s="19" t="s">
        <v>610</v>
      </c>
      <c r="L28" s="19" t="s">
        <v>1316</v>
      </c>
      <c r="M28" s="310">
        <v>237227993</v>
      </c>
      <c r="N28" s="19">
        <v>0</v>
      </c>
      <c r="O28" s="310">
        <f>SUM(M1:M28)</f>
        <v>22554722287</v>
      </c>
      <c r="P28" s="62">
        <f>O28/O72*1000</f>
        <v>270.7380770679873</v>
      </c>
    </row>
    <row r="29" spans="1:9" ht="12.75">
      <c r="A29" t="s">
        <v>1309</v>
      </c>
      <c r="B29" t="s">
        <v>1310</v>
      </c>
      <c r="C29" s="301">
        <v>164796650</v>
      </c>
      <c r="D29">
        <v>23</v>
      </c>
      <c r="F29" t="s">
        <v>219</v>
      </c>
      <c r="G29" t="s">
        <v>1311</v>
      </c>
      <c r="H29" s="301">
        <v>137789322</v>
      </c>
      <c r="I29">
        <v>13</v>
      </c>
    </row>
    <row r="30" spans="1:9" ht="12.75">
      <c r="A30" t="s">
        <v>516</v>
      </c>
      <c r="B30" t="s">
        <v>1314</v>
      </c>
      <c r="C30" s="301">
        <v>135175241</v>
      </c>
      <c r="D30">
        <v>23</v>
      </c>
      <c r="F30" t="s">
        <v>221</v>
      </c>
      <c r="G30" t="s">
        <v>1315</v>
      </c>
      <c r="H30" s="301">
        <v>75238088</v>
      </c>
      <c r="I30">
        <v>13</v>
      </c>
    </row>
    <row r="31" spans="1:9" ht="12.75">
      <c r="A31" t="s">
        <v>518</v>
      </c>
      <c r="B31" t="s">
        <v>1317</v>
      </c>
      <c r="C31" s="301">
        <v>59705261</v>
      </c>
      <c r="D31">
        <v>23</v>
      </c>
      <c r="F31" t="s">
        <v>223</v>
      </c>
      <c r="G31" t="s">
        <v>1318</v>
      </c>
      <c r="H31" s="301">
        <v>43572082</v>
      </c>
      <c r="I31">
        <v>13</v>
      </c>
    </row>
    <row r="32" spans="1:14" ht="12.75">
      <c r="A32" t="s">
        <v>520</v>
      </c>
      <c r="B32" t="s">
        <v>519</v>
      </c>
      <c r="C32" s="301">
        <v>59641893</v>
      </c>
      <c r="D32">
        <v>23</v>
      </c>
      <c r="F32" t="s">
        <v>229</v>
      </c>
      <c r="G32" t="s">
        <v>1319</v>
      </c>
      <c r="H32" s="301">
        <v>154648517</v>
      </c>
      <c r="I32">
        <v>13</v>
      </c>
      <c r="K32" t="s">
        <v>744</v>
      </c>
      <c r="L32" t="s">
        <v>745</v>
      </c>
      <c r="M32" s="301">
        <v>758681901</v>
      </c>
      <c r="N32">
        <v>9</v>
      </c>
    </row>
    <row r="33" spans="1:14" ht="12.75">
      <c r="A33" t="s">
        <v>526</v>
      </c>
      <c r="B33" t="s">
        <v>1320</v>
      </c>
      <c r="C33" s="301">
        <v>183694208</v>
      </c>
      <c r="D33">
        <v>23</v>
      </c>
      <c r="F33" t="s">
        <v>1321</v>
      </c>
      <c r="G33" t="s">
        <v>1322</v>
      </c>
      <c r="H33" s="301">
        <v>131098349</v>
      </c>
      <c r="I33">
        <v>13</v>
      </c>
      <c r="K33" t="s">
        <v>746</v>
      </c>
      <c r="L33" t="s">
        <v>747</v>
      </c>
      <c r="M33" s="301">
        <v>175608350</v>
      </c>
      <c r="N33">
        <v>9</v>
      </c>
    </row>
    <row r="34" spans="1:14" ht="12.75">
      <c r="A34" t="s">
        <v>538</v>
      </c>
      <c r="B34" t="s">
        <v>1323</v>
      </c>
      <c r="C34" s="301">
        <v>89581307</v>
      </c>
      <c r="D34">
        <v>23</v>
      </c>
      <c r="F34" t="s">
        <v>1324</v>
      </c>
      <c r="G34" t="s">
        <v>1325</v>
      </c>
      <c r="H34" s="301">
        <v>38297631</v>
      </c>
      <c r="I34">
        <v>13</v>
      </c>
      <c r="K34" t="s">
        <v>748</v>
      </c>
      <c r="L34" t="s">
        <v>749</v>
      </c>
      <c r="M34" s="301">
        <v>271770692</v>
      </c>
      <c r="N34">
        <v>9</v>
      </c>
    </row>
    <row r="35" spans="1:14" ht="12.75">
      <c r="A35" t="s">
        <v>540</v>
      </c>
      <c r="B35" t="s">
        <v>1327</v>
      </c>
      <c r="C35" s="301">
        <v>134371960</v>
      </c>
      <c r="D35">
        <v>23</v>
      </c>
      <c r="F35" t="s">
        <v>245</v>
      </c>
      <c r="G35" t="s">
        <v>1328</v>
      </c>
      <c r="H35" s="301">
        <v>14602490</v>
      </c>
      <c r="I35">
        <v>13</v>
      </c>
      <c r="K35" t="s">
        <v>750</v>
      </c>
      <c r="L35" t="s">
        <v>1326</v>
      </c>
      <c r="M35" s="301">
        <v>47959533</v>
      </c>
      <c r="N35">
        <v>9</v>
      </c>
    </row>
    <row r="36" spans="1:14" ht="12.75">
      <c r="A36" t="s">
        <v>1331</v>
      </c>
      <c r="B36" t="s">
        <v>1332</v>
      </c>
      <c r="C36" s="301">
        <v>189345197</v>
      </c>
      <c r="D36">
        <v>23</v>
      </c>
      <c r="F36" t="s">
        <v>1333</v>
      </c>
      <c r="G36" t="s">
        <v>232</v>
      </c>
      <c r="H36" s="301">
        <v>253440627</v>
      </c>
      <c r="I36">
        <v>13</v>
      </c>
      <c r="K36" t="s">
        <v>1329</v>
      </c>
      <c r="L36" t="s">
        <v>1330</v>
      </c>
      <c r="M36" s="301">
        <v>40398441</v>
      </c>
      <c r="N36">
        <v>9</v>
      </c>
    </row>
    <row r="37" spans="1:14" ht="12.75">
      <c r="A37" t="s">
        <v>1335</v>
      </c>
      <c r="B37" t="s">
        <v>1336</v>
      </c>
      <c r="C37" s="301">
        <v>207738921</v>
      </c>
      <c r="D37">
        <v>23</v>
      </c>
      <c r="F37" t="s">
        <v>1337</v>
      </c>
      <c r="G37" t="s">
        <v>236</v>
      </c>
      <c r="H37" s="301">
        <v>143801795</v>
      </c>
      <c r="I37">
        <v>13</v>
      </c>
      <c r="K37" t="s">
        <v>820</v>
      </c>
      <c r="L37" t="s">
        <v>821</v>
      </c>
      <c r="M37" s="301">
        <v>115708641</v>
      </c>
      <c r="N37">
        <v>9</v>
      </c>
    </row>
    <row r="38" spans="1:14" ht="12.75">
      <c r="A38" t="s">
        <v>1338</v>
      </c>
      <c r="B38" t="s">
        <v>1339</v>
      </c>
      <c r="C38" s="301">
        <v>164348227</v>
      </c>
      <c r="D38">
        <v>23</v>
      </c>
      <c r="F38" t="s">
        <v>1340</v>
      </c>
      <c r="G38" t="s">
        <v>234</v>
      </c>
      <c r="H38" s="301">
        <v>74689149</v>
      </c>
      <c r="I38">
        <v>13</v>
      </c>
      <c r="K38" t="s">
        <v>822</v>
      </c>
      <c r="L38" t="s">
        <v>823</v>
      </c>
      <c r="M38" s="301">
        <v>260614186</v>
      </c>
      <c r="N38">
        <v>9</v>
      </c>
    </row>
    <row r="39" spans="1:14" ht="12.75">
      <c r="A39" t="s">
        <v>1341</v>
      </c>
      <c r="B39" t="s">
        <v>1342</v>
      </c>
      <c r="C39" s="301">
        <v>92047467</v>
      </c>
      <c r="D39">
        <v>23</v>
      </c>
      <c r="F39" t="s">
        <v>1343</v>
      </c>
      <c r="G39" t="s">
        <v>1344</v>
      </c>
      <c r="H39" s="301">
        <v>118472175</v>
      </c>
      <c r="I39">
        <v>13</v>
      </c>
      <c r="K39" t="s">
        <v>824</v>
      </c>
      <c r="L39" t="s">
        <v>825</v>
      </c>
      <c r="M39" s="301">
        <v>499241880</v>
      </c>
      <c r="N39">
        <v>9</v>
      </c>
    </row>
    <row r="40" spans="1:14" ht="12.75">
      <c r="A40" t="s">
        <v>546</v>
      </c>
      <c r="B40" t="s">
        <v>1345</v>
      </c>
      <c r="C40" s="301">
        <v>138537281</v>
      </c>
      <c r="D40">
        <v>23</v>
      </c>
      <c r="F40" t="s">
        <v>1346</v>
      </c>
      <c r="G40" t="s">
        <v>242</v>
      </c>
      <c r="H40" s="301">
        <v>30419252</v>
      </c>
      <c r="I40">
        <v>13</v>
      </c>
      <c r="K40" t="s">
        <v>826</v>
      </c>
      <c r="L40" t="s">
        <v>827</v>
      </c>
      <c r="M40" s="301">
        <v>116182325</v>
      </c>
      <c r="N40">
        <v>9</v>
      </c>
    </row>
    <row r="41" spans="1:14" ht="12.75">
      <c r="A41" t="s">
        <v>556</v>
      </c>
      <c r="B41" t="s">
        <v>1347</v>
      </c>
      <c r="C41" s="301">
        <v>126739824</v>
      </c>
      <c r="D41">
        <v>23</v>
      </c>
      <c r="F41" t="s">
        <v>1348</v>
      </c>
      <c r="G41" t="s">
        <v>254</v>
      </c>
      <c r="H41" s="301">
        <v>34597289</v>
      </c>
      <c r="I41">
        <v>13</v>
      </c>
      <c r="K41" t="s">
        <v>1349</v>
      </c>
      <c r="L41" t="s">
        <v>829</v>
      </c>
      <c r="M41" s="301">
        <v>218964746</v>
      </c>
      <c r="N41">
        <v>9</v>
      </c>
    </row>
    <row r="42" spans="1:14" ht="12.75">
      <c r="A42" t="s">
        <v>1350</v>
      </c>
      <c r="B42" t="s">
        <v>1351</v>
      </c>
      <c r="C42" s="301">
        <v>179839123</v>
      </c>
      <c r="D42">
        <v>23</v>
      </c>
      <c r="F42" t="s">
        <v>1352</v>
      </c>
      <c r="G42" t="s">
        <v>250</v>
      </c>
      <c r="H42" s="301">
        <v>168970066</v>
      </c>
      <c r="I42">
        <v>13</v>
      </c>
      <c r="K42" t="s">
        <v>830</v>
      </c>
      <c r="L42" t="s">
        <v>1353</v>
      </c>
      <c r="M42" s="301">
        <v>69293543</v>
      </c>
      <c r="N42">
        <v>9</v>
      </c>
    </row>
    <row r="43" spans="1:14" ht="12.75">
      <c r="A43" t="s">
        <v>1354</v>
      </c>
      <c r="B43" t="s">
        <v>1355</v>
      </c>
      <c r="C43" s="301">
        <v>24257890</v>
      </c>
      <c r="D43">
        <v>23</v>
      </c>
      <c r="F43" t="s">
        <v>1356</v>
      </c>
      <c r="G43" t="s">
        <v>248</v>
      </c>
      <c r="H43" s="301">
        <v>89686366</v>
      </c>
      <c r="I43">
        <v>13</v>
      </c>
      <c r="K43" t="s">
        <v>836</v>
      </c>
      <c r="L43" t="s">
        <v>837</v>
      </c>
      <c r="M43" s="301">
        <v>65648000</v>
      </c>
      <c r="N43">
        <v>9</v>
      </c>
    </row>
    <row r="44" spans="1:14" ht="12.75">
      <c r="A44" t="s">
        <v>1357</v>
      </c>
      <c r="B44" t="s">
        <v>1358</v>
      </c>
      <c r="C44" s="301">
        <v>27383281</v>
      </c>
      <c r="D44">
        <v>23</v>
      </c>
      <c r="F44" t="s">
        <v>1359</v>
      </c>
      <c r="G44" t="s">
        <v>246</v>
      </c>
      <c r="H44" s="301">
        <v>157978130</v>
      </c>
      <c r="I44">
        <v>13</v>
      </c>
      <c r="K44" t="s">
        <v>1360</v>
      </c>
      <c r="L44" t="s">
        <v>839</v>
      </c>
      <c r="M44" s="301">
        <v>12307939</v>
      </c>
      <c r="N44">
        <v>9</v>
      </c>
    </row>
    <row r="45" spans="1:14" ht="12.75">
      <c r="A45" t="s">
        <v>1361</v>
      </c>
      <c r="B45" t="s">
        <v>1362</v>
      </c>
      <c r="C45" s="301">
        <v>38855864</v>
      </c>
      <c r="D45">
        <v>23</v>
      </c>
      <c r="F45" t="s">
        <v>1363</v>
      </c>
      <c r="G45" t="s">
        <v>256</v>
      </c>
      <c r="H45" s="301">
        <v>26963223</v>
      </c>
      <c r="I45">
        <v>13</v>
      </c>
      <c r="K45" t="s">
        <v>940</v>
      </c>
      <c r="L45" t="s">
        <v>947</v>
      </c>
      <c r="M45" s="301">
        <v>5262796</v>
      </c>
      <c r="N45">
        <v>9</v>
      </c>
    </row>
    <row r="46" spans="1:14" ht="12.75">
      <c r="A46" t="s">
        <v>558</v>
      </c>
      <c r="B46" t="s">
        <v>1364</v>
      </c>
      <c r="C46" s="301">
        <v>56029960</v>
      </c>
      <c r="D46">
        <v>23</v>
      </c>
      <c r="F46" t="s">
        <v>1365</v>
      </c>
      <c r="G46" t="s">
        <v>1366</v>
      </c>
      <c r="H46" s="301">
        <v>70736966</v>
      </c>
      <c r="I46">
        <v>13</v>
      </c>
      <c r="K46" t="s">
        <v>942</v>
      </c>
      <c r="L46" t="s">
        <v>949</v>
      </c>
      <c r="M46" s="301">
        <v>49679629</v>
      </c>
      <c r="N46">
        <v>9</v>
      </c>
    </row>
    <row r="47" spans="1:14" ht="12.75">
      <c r="A47" t="s">
        <v>560</v>
      </c>
      <c r="B47" t="s">
        <v>1367</v>
      </c>
      <c r="C47" s="301">
        <v>69105468</v>
      </c>
      <c r="D47">
        <v>23</v>
      </c>
      <c r="F47" t="s">
        <v>1368</v>
      </c>
      <c r="G47" t="s">
        <v>1369</v>
      </c>
      <c r="H47" s="301">
        <v>288145972</v>
      </c>
      <c r="I47">
        <v>13</v>
      </c>
      <c r="K47" t="s">
        <v>946</v>
      </c>
      <c r="L47" t="s">
        <v>941</v>
      </c>
      <c r="M47" s="301">
        <v>70753719</v>
      </c>
      <c r="N47">
        <v>9</v>
      </c>
    </row>
    <row r="48" spans="1:14" ht="12.75">
      <c r="A48" t="s">
        <v>562</v>
      </c>
      <c r="B48" t="s">
        <v>1370</v>
      </c>
      <c r="C48" s="301">
        <v>93748423</v>
      </c>
      <c r="D48">
        <v>23</v>
      </c>
      <c r="F48" t="s">
        <v>1371</v>
      </c>
      <c r="G48" t="s">
        <v>1372</v>
      </c>
      <c r="H48" s="301">
        <v>95751338</v>
      </c>
      <c r="I48">
        <v>13</v>
      </c>
      <c r="K48" t="s">
        <v>1373</v>
      </c>
      <c r="L48" t="s">
        <v>957</v>
      </c>
      <c r="M48" s="301">
        <v>274718335</v>
      </c>
      <c r="N48">
        <v>9</v>
      </c>
    </row>
    <row r="49" spans="1:14" ht="12.75">
      <c r="A49" t="s">
        <v>1374</v>
      </c>
      <c r="B49" t="s">
        <v>1375</v>
      </c>
      <c r="C49" s="301">
        <v>64096639</v>
      </c>
      <c r="D49">
        <v>23</v>
      </c>
      <c r="F49" t="s">
        <v>257</v>
      </c>
      <c r="G49" t="s">
        <v>1376</v>
      </c>
      <c r="H49" s="301">
        <v>15010089</v>
      </c>
      <c r="I49">
        <v>13</v>
      </c>
      <c r="K49" t="s">
        <v>1377</v>
      </c>
      <c r="L49" t="s">
        <v>1378</v>
      </c>
      <c r="M49" s="301">
        <v>262115137</v>
      </c>
      <c r="N49">
        <v>9</v>
      </c>
    </row>
    <row r="50" spans="1:14" ht="12.75">
      <c r="A50" t="s">
        <v>576</v>
      </c>
      <c r="B50" t="s">
        <v>575</v>
      </c>
      <c r="C50" s="301">
        <v>36439239</v>
      </c>
      <c r="D50">
        <v>23</v>
      </c>
      <c r="F50" t="s">
        <v>259</v>
      </c>
      <c r="G50" t="s">
        <v>260</v>
      </c>
      <c r="H50" s="301">
        <v>75722375</v>
      </c>
      <c r="I50">
        <v>13</v>
      </c>
      <c r="K50" t="s">
        <v>1379</v>
      </c>
      <c r="L50" t="s">
        <v>951</v>
      </c>
      <c r="M50" s="301">
        <v>263042894</v>
      </c>
      <c r="N50">
        <v>9</v>
      </c>
    </row>
    <row r="51" spans="1:14" ht="12.75">
      <c r="A51" t="s">
        <v>578</v>
      </c>
      <c r="B51" t="s">
        <v>573</v>
      </c>
      <c r="C51" s="301">
        <v>117556773</v>
      </c>
      <c r="D51">
        <v>23</v>
      </c>
      <c r="F51" t="s">
        <v>1380</v>
      </c>
      <c r="G51" t="s">
        <v>1381</v>
      </c>
      <c r="H51" s="301">
        <v>89460140</v>
      </c>
      <c r="I51">
        <v>13</v>
      </c>
      <c r="K51" t="s">
        <v>958</v>
      </c>
      <c r="L51" t="s">
        <v>959</v>
      </c>
      <c r="M51" s="301">
        <v>62883951</v>
      </c>
      <c r="N51">
        <v>9</v>
      </c>
    </row>
    <row r="52" spans="1:14" ht="12.75">
      <c r="A52" t="s">
        <v>1382</v>
      </c>
      <c r="B52" t="s">
        <v>1383</v>
      </c>
      <c r="C52" s="301">
        <v>99906176</v>
      </c>
      <c r="D52">
        <v>23</v>
      </c>
      <c r="F52" t="s">
        <v>1384</v>
      </c>
      <c r="G52" t="s">
        <v>1385</v>
      </c>
      <c r="H52" s="301">
        <v>25155819</v>
      </c>
      <c r="I52">
        <v>13</v>
      </c>
      <c r="K52" t="s">
        <v>962</v>
      </c>
      <c r="L52" t="s">
        <v>961</v>
      </c>
      <c r="M52" s="301">
        <v>252996574</v>
      </c>
      <c r="N52">
        <v>9</v>
      </c>
    </row>
    <row r="53" spans="1:14" ht="12.75">
      <c r="A53" t="s">
        <v>1386</v>
      </c>
      <c r="B53" t="s">
        <v>577</v>
      </c>
      <c r="C53" s="301">
        <v>125449392</v>
      </c>
      <c r="D53">
        <v>23</v>
      </c>
      <c r="F53" t="s">
        <v>261</v>
      </c>
      <c r="G53" t="s">
        <v>1387</v>
      </c>
      <c r="H53" s="301">
        <v>46337412</v>
      </c>
      <c r="I53">
        <v>13</v>
      </c>
      <c r="K53" t="s">
        <v>1388</v>
      </c>
      <c r="L53" t="s">
        <v>963</v>
      </c>
      <c r="M53" s="301">
        <v>45993049</v>
      </c>
      <c r="N53">
        <v>9</v>
      </c>
    </row>
    <row r="54" spans="1:14" ht="12.75">
      <c r="A54" t="s">
        <v>1389</v>
      </c>
      <c r="B54" t="s">
        <v>581</v>
      </c>
      <c r="C54" s="301">
        <v>180118809</v>
      </c>
      <c r="D54">
        <v>23</v>
      </c>
      <c r="F54" t="s">
        <v>1390</v>
      </c>
      <c r="G54" t="s">
        <v>1391</v>
      </c>
      <c r="H54" s="301">
        <v>124243397</v>
      </c>
      <c r="I54">
        <v>13</v>
      </c>
      <c r="K54" t="s">
        <v>1392</v>
      </c>
      <c r="L54" t="s">
        <v>1393</v>
      </c>
      <c r="M54" s="301">
        <v>701052148</v>
      </c>
      <c r="N54">
        <v>9</v>
      </c>
    </row>
    <row r="55" spans="1:14" ht="12.75">
      <c r="A55" t="s">
        <v>1394</v>
      </c>
      <c r="B55" t="s">
        <v>1395</v>
      </c>
      <c r="C55" s="301">
        <v>74553899</v>
      </c>
      <c r="D55">
        <v>23</v>
      </c>
      <c r="F55" t="s">
        <v>1396</v>
      </c>
      <c r="G55" t="s">
        <v>1397</v>
      </c>
      <c r="H55" s="301">
        <v>84136194</v>
      </c>
      <c r="I55">
        <v>13</v>
      </c>
      <c r="K55" t="s">
        <v>1398</v>
      </c>
      <c r="L55" t="s">
        <v>943</v>
      </c>
      <c r="M55" s="301">
        <v>61078367</v>
      </c>
      <c r="N55">
        <v>9</v>
      </c>
    </row>
    <row r="56" spans="1:14" ht="12.75">
      <c r="A56" t="s">
        <v>1399</v>
      </c>
      <c r="B56" t="s">
        <v>587</v>
      </c>
      <c r="C56" s="301">
        <v>59033288</v>
      </c>
      <c r="D56">
        <v>23</v>
      </c>
      <c r="F56" t="s">
        <v>1400</v>
      </c>
      <c r="G56" t="s">
        <v>1401</v>
      </c>
      <c r="H56" s="301">
        <v>55696700</v>
      </c>
      <c r="I56">
        <v>13</v>
      </c>
      <c r="K56" t="s">
        <v>974</v>
      </c>
      <c r="L56" t="s">
        <v>975</v>
      </c>
      <c r="M56" s="301">
        <v>82474706</v>
      </c>
      <c r="N56">
        <v>9</v>
      </c>
    </row>
    <row r="57" spans="1:14" ht="12.75">
      <c r="A57" t="s">
        <v>1402</v>
      </c>
      <c r="B57" t="s">
        <v>1403</v>
      </c>
      <c r="C57" s="301">
        <v>26237016</v>
      </c>
      <c r="D57">
        <v>23</v>
      </c>
      <c r="F57" t="s">
        <v>275</v>
      </c>
      <c r="G57" t="s">
        <v>276</v>
      </c>
      <c r="H57" s="301">
        <v>273856215</v>
      </c>
      <c r="I57">
        <v>13</v>
      </c>
      <c r="K57" t="s">
        <v>976</v>
      </c>
      <c r="L57" t="s">
        <v>979</v>
      </c>
      <c r="M57" s="301">
        <v>63450548</v>
      </c>
      <c r="N57">
        <v>9</v>
      </c>
    </row>
    <row r="58" spans="1:14" ht="12.75">
      <c r="A58" t="s">
        <v>614</v>
      </c>
      <c r="B58" t="s">
        <v>617</v>
      </c>
      <c r="C58" s="301">
        <v>100634978</v>
      </c>
      <c r="D58">
        <v>23</v>
      </c>
      <c r="F58" t="s">
        <v>277</v>
      </c>
      <c r="G58" t="s">
        <v>278</v>
      </c>
      <c r="H58" s="301">
        <v>263398903</v>
      </c>
      <c r="I58">
        <v>13</v>
      </c>
      <c r="K58" t="s">
        <v>1404</v>
      </c>
      <c r="L58" t="s">
        <v>1405</v>
      </c>
      <c r="M58" s="301">
        <v>40137967</v>
      </c>
      <c r="N58">
        <v>9</v>
      </c>
    </row>
    <row r="59" spans="1:14" ht="12.75">
      <c r="A59" t="s">
        <v>1406</v>
      </c>
      <c r="B59" t="s">
        <v>615</v>
      </c>
      <c r="C59" s="301">
        <v>30058282</v>
      </c>
      <c r="D59">
        <v>23</v>
      </c>
      <c r="F59" t="s">
        <v>295</v>
      </c>
      <c r="G59" t="s">
        <v>296</v>
      </c>
      <c r="H59" s="301">
        <v>131576597</v>
      </c>
      <c r="I59">
        <v>13</v>
      </c>
      <c r="K59" t="s">
        <v>1407</v>
      </c>
      <c r="L59" t="s">
        <v>1408</v>
      </c>
      <c r="M59" s="301">
        <v>64568547</v>
      </c>
      <c r="N59">
        <v>9</v>
      </c>
    </row>
    <row r="60" spans="1:14" ht="12.75">
      <c r="A60" t="s">
        <v>1409</v>
      </c>
      <c r="B60" t="s">
        <v>619</v>
      </c>
      <c r="C60" s="301">
        <v>43953444</v>
      </c>
      <c r="D60">
        <v>23</v>
      </c>
      <c r="F60" t="s">
        <v>297</v>
      </c>
      <c r="G60" t="s">
        <v>1410</v>
      </c>
      <c r="H60" s="301">
        <v>136347860</v>
      </c>
      <c r="I60">
        <v>13</v>
      </c>
      <c r="K60" t="s">
        <v>1411</v>
      </c>
      <c r="L60" t="s">
        <v>1412</v>
      </c>
      <c r="M60" s="301">
        <v>59262066</v>
      </c>
      <c r="N60">
        <v>9</v>
      </c>
    </row>
    <row r="61" spans="1:14" ht="12.75">
      <c r="A61" t="s">
        <v>1413</v>
      </c>
      <c r="B61" t="s">
        <v>623</v>
      </c>
      <c r="C61" s="301">
        <v>115733447</v>
      </c>
      <c r="D61">
        <v>23</v>
      </c>
      <c r="F61" t="s">
        <v>315</v>
      </c>
      <c r="G61" t="s">
        <v>286</v>
      </c>
      <c r="H61" s="301">
        <v>167725777</v>
      </c>
      <c r="I61">
        <v>13</v>
      </c>
      <c r="K61" s="4" t="s">
        <v>984</v>
      </c>
      <c r="L61" t="s">
        <v>981</v>
      </c>
      <c r="M61" s="301">
        <v>417772067</v>
      </c>
      <c r="N61">
        <v>9</v>
      </c>
    </row>
    <row r="62" spans="1:14" ht="12.75">
      <c r="A62" t="s">
        <v>626</v>
      </c>
      <c r="B62" t="s">
        <v>627</v>
      </c>
      <c r="C62" s="301">
        <v>117071120</v>
      </c>
      <c r="D62">
        <v>23</v>
      </c>
      <c r="F62" t="s">
        <v>1415</v>
      </c>
      <c r="G62" t="s">
        <v>284</v>
      </c>
      <c r="H62" s="301">
        <v>105483183</v>
      </c>
      <c r="I62">
        <v>13</v>
      </c>
      <c r="K62" s="4" t="s">
        <v>1278</v>
      </c>
      <c r="L62" t="s">
        <v>985</v>
      </c>
      <c r="M62" s="301">
        <v>372364838</v>
      </c>
      <c r="N62">
        <v>9</v>
      </c>
    </row>
    <row r="63" spans="1:14" ht="12.75">
      <c r="A63" t="s">
        <v>628</v>
      </c>
      <c r="B63" t="s">
        <v>629</v>
      </c>
      <c r="C63" s="301">
        <v>143069689</v>
      </c>
      <c r="D63">
        <v>23</v>
      </c>
      <c r="F63" t="s">
        <v>1418</v>
      </c>
      <c r="G63" t="s">
        <v>1419</v>
      </c>
      <c r="H63" s="301">
        <v>144321091</v>
      </c>
      <c r="I63">
        <v>13</v>
      </c>
      <c r="K63" t="s">
        <v>1414</v>
      </c>
      <c r="L63" t="s">
        <v>1034</v>
      </c>
      <c r="M63" s="301">
        <v>364110640</v>
      </c>
      <c r="N63">
        <v>9</v>
      </c>
    </row>
    <row r="64" spans="1:14" ht="12.75">
      <c r="A64" t="s">
        <v>630</v>
      </c>
      <c r="B64" t="s">
        <v>631</v>
      </c>
      <c r="C64" s="301">
        <v>159398190</v>
      </c>
      <c r="D64">
        <v>23</v>
      </c>
      <c r="F64" t="s">
        <v>1421</v>
      </c>
      <c r="G64" t="s">
        <v>1422</v>
      </c>
      <c r="H64" s="301">
        <v>30706551</v>
      </c>
      <c r="I64">
        <v>13</v>
      </c>
      <c r="K64" t="s">
        <v>1416</v>
      </c>
      <c r="L64" t="s">
        <v>1417</v>
      </c>
      <c r="M64" s="301">
        <v>54716232</v>
      </c>
      <c r="N64">
        <v>9</v>
      </c>
    </row>
    <row r="65" spans="1:14" ht="12.75">
      <c r="A65" t="s">
        <v>636</v>
      </c>
      <c r="B65" t="s">
        <v>637</v>
      </c>
      <c r="C65" s="301">
        <v>1996800995</v>
      </c>
      <c r="D65">
        <v>23</v>
      </c>
      <c r="F65" t="s">
        <v>1423</v>
      </c>
      <c r="G65" t="s">
        <v>1424</v>
      </c>
      <c r="H65" s="301">
        <v>36843164</v>
      </c>
      <c r="I65">
        <v>13</v>
      </c>
      <c r="K65" t="s">
        <v>1420</v>
      </c>
      <c r="L65" t="s">
        <v>1036</v>
      </c>
      <c r="M65" s="301">
        <v>26849917</v>
      </c>
      <c r="N65">
        <v>9</v>
      </c>
    </row>
    <row r="66" spans="1:9" ht="12.75">
      <c r="A66" t="s">
        <v>638</v>
      </c>
      <c r="B66" t="s">
        <v>639</v>
      </c>
      <c r="C66" s="301">
        <v>357099159</v>
      </c>
      <c r="D66">
        <v>23</v>
      </c>
      <c r="F66" t="s">
        <v>1426</v>
      </c>
      <c r="G66" t="s">
        <v>1427</v>
      </c>
      <c r="H66" s="301">
        <v>50988376</v>
      </c>
      <c r="I66">
        <v>13</v>
      </c>
    </row>
    <row r="67" spans="1:9" ht="12.75">
      <c r="A67" t="s">
        <v>640</v>
      </c>
      <c r="B67" t="s">
        <v>641</v>
      </c>
      <c r="C67" s="301">
        <v>71192350</v>
      </c>
      <c r="D67">
        <v>23</v>
      </c>
      <c r="F67" t="s">
        <v>1429</v>
      </c>
      <c r="G67" t="s">
        <v>292</v>
      </c>
      <c r="H67" s="301">
        <v>59870043</v>
      </c>
      <c r="I67">
        <v>13</v>
      </c>
    </row>
    <row r="68" spans="1:16" ht="12.75">
      <c r="A68" t="s">
        <v>642</v>
      </c>
      <c r="B68" t="s">
        <v>1430</v>
      </c>
      <c r="C68" s="301">
        <v>149756252</v>
      </c>
      <c r="D68">
        <v>23</v>
      </c>
      <c r="F68" t="s">
        <v>1431</v>
      </c>
      <c r="G68" t="s">
        <v>310</v>
      </c>
      <c r="H68" s="301">
        <v>32857016</v>
      </c>
      <c r="I68">
        <v>13</v>
      </c>
      <c r="O68" s="310">
        <f>SUM(M32:M68)</f>
        <v>6247664304</v>
      </c>
      <c r="P68" s="62">
        <f>O68/O72*1000</f>
        <v>74.99452213633302</v>
      </c>
    </row>
    <row r="69" spans="1:16" ht="12.75">
      <c r="A69" t="s">
        <v>644</v>
      </c>
      <c r="B69" t="s">
        <v>645</v>
      </c>
      <c r="C69" s="301">
        <v>83291859</v>
      </c>
      <c r="D69">
        <v>23</v>
      </c>
      <c r="F69" t="s">
        <v>1432</v>
      </c>
      <c r="G69" t="s">
        <v>294</v>
      </c>
      <c r="H69" s="301">
        <v>66586032</v>
      </c>
      <c r="I69">
        <v>13</v>
      </c>
      <c r="P69" t="s">
        <v>13</v>
      </c>
    </row>
    <row r="70" spans="1:16" ht="12.75">
      <c r="A70" t="s">
        <v>656</v>
      </c>
      <c r="B70" t="s">
        <v>1433</v>
      </c>
      <c r="C70" s="301">
        <v>110948505</v>
      </c>
      <c r="D70">
        <v>23</v>
      </c>
      <c r="F70" t="s">
        <v>1434</v>
      </c>
      <c r="G70" t="s">
        <v>300</v>
      </c>
      <c r="H70" s="301">
        <v>58689730</v>
      </c>
      <c r="I70">
        <v>13</v>
      </c>
      <c r="O70">
        <v>29624432477</v>
      </c>
      <c r="P70" t="s">
        <v>13</v>
      </c>
    </row>
    <row r="71" spans="1:16" ht="12.75">
      <c r="A71" t="s">
        <v>1435</v>
      </c>
      <c r="B71" t="s">
        <v>647</v>
      </c>
      <c r="C71" s="301">
        <v>361647117</v>
      </c>
      <c r="D71">
        <v>23</v>
      </c>
      <c r="F71" t="s">
        <v>1436</v>
      </c>
      <c r="G71" t="s">
        <v>1437</v>
      </c>
      <c r="H71" s="301">
        <v>56981541</v>
      </c>
      <c r="I71">
        <v>13</v>
      </c>
      <c r="P71" t="s">
        <v>13</v>
      </c>
    </row>
    <row r="72" spans="1:16" ht="12.75">
      <c r="A72" t="s">
        <v>1438</v>
      </c>
      <c r="B72" t="s">
        <v>1439</v>
      </c>
      <c r="C72" s="301">
        <v>138056281</v>
      </c>
      <c r="D72">
        <v>23</v>
      </c>
      <c r="F72" t="s">
        <v>1440</v>
      </c>
      <c r="G72" t="s">
        <v>1441</v>
      </c>
      <c r="H72" s="301">
        <v>40033416</v>
      </c>
      <c r="I72">
        <v>13</v>
      </c>
      <c r="O72" s="301">
        <v>83308275405</v>
      </c>
      <c r="P72">
        <v>100</v>
      </c>
    </row>
    <row r="73" spans="1:9" ht="12.75">
      <c r="A73" t="s">
        <v>1442</v>
      </c>
      <c r="B73" t="s">
        <v>653</v>
      </c>
      <c r="C73" s="301">
        <v>145857634</v>
      </c>
      <c r="D73">
        <v>23</v>
      </c>
      <c r="F73" t="s">
        <v>1443</v>
      </c>
      <c r="G73" t="s">
        <v>314</v>
      </c>
      <c r="H73" s="301">
        <v>37242107</v>
      </c>
      <c r="I73">
        <v>13</v>
      </c>
    </row>
    <row r="74" spans="1:9" ht="12.75">
      <c r="A74" t="s">
        <v>1444</v>
      </c>
      <c r="B74" t="s">
        <v>651</v>
      </c>
      <c r="C74" s="301">
        <v>95352916</v>
      </c>
      <c r="D74">
        <v>23</v>
      </c>
      <c r="F74" t="s">
        <v>1445</v>
      </c>
      <c r="G74" t="s">
        <v>1446</v>
      </c>
      <c r="H74" s="301">
        <v>40096713</v>
      </c>
      <c r="I74">
        <v>13</v>
      </c>
    </row>
    <row r="75" spans="1:9" ht="12.75">
      <c r="A75" t="s">
        <v>1447</v>
      </c>
      <c r="B75" t="s">
        <v>655</v>
      </c>
      <c r="C75" s="301">
        <v>152408308</v>
      </c>
      <c r="D75">
        <v>23</v>
      </c>
      <c r="F75" t="s">
        <v>1448</v>
      </c>
      <c r="G75" t="s">
        <v>1449</v>
      </c>
      <c r="H75" s="301">
        <v>67216826</v>
      </c>
      <c r="I75">
        <v>13</v>
      </c>
    </row>
    <row r="76" spans="1:9" ht="12.75">
      <c r="A76" t="s">
        <v>1450</v>
      </c>
      <c r="B76" t="s">
        <v>661</v>
      </c>
      <c r="C76" s="301">
        <v>79635735</v>
      </c>
      <c r="D76">
        <v>23</v>
      </c>
      <c r="F76" t="s">
        <v>1451</v>
      </c>
      <c r="G76" t="s">
        <v>304</v>
      </c>
      <c r="H76" s="301">
        <v>39884383</v>
      </c>
      <c r="I76">
        <v>13</v>
      </c>
    </row>
    <row r="77" spans="1:9" ht="12.75">
      <c r="A77" t="s">
        <v>1452</v>
      </c>
      <c r="B77" t="s">
        <v>657</v>
      </c>
      <c r="C77" s="301">
        <v>68666496</v>
      </c>
      <c r="D77">
        <v>23</v>
      </c>
      <c r="F77" t="s">
        <v>1453</v>
      </c>
      <c r="G77" t="s">
        <v>1454</v>
      </c>
      <c r="H77" s="301">
        <v>25090513</v>
      </c>
      <c r="I77">
        <v>13</v>
      </c>
    </row>
    <row r="78" spans="1:9" ht="12.75">
      <c r="A78" t="s">
        <v>1455</v>
      </c>
      <c r="B78" t="s">
        <v>1456</v>
      </c>
      <c r="C78" s="301">
        <v>69442121</v>
      </c>
      <c r="D78">
        <v>23</v>
      </c>
      <c r="F78" t="s">
        <v>1457</v>
      </c>
      <c r="G78" t="s">
        <v>316</v>
      </c>
      <c r="H78" s="301">
        <v>87316623</v>
      </c>
      <c r="I78">
        <v>13</v>
      </c>
    </row>
    <row r="79" spans="1:9" ht="12.75">
      <c r="A79" t="s">
        <v>1458</v>
      </c>
      <c r="B79" t="s">
        <v>663</v>
      </c>
      <c r="C79" s="301">
        <v>17971733</v>
      </c>
      <c r="D79">
        <v>23</v>
      </c>
      <c r="F79" t="s">
        <v>317</v>
      </c>
      <c r="G79" t="s">
        <v>318</v>
      </c>
      <c r="H79" s="301">
        <v>29210243</v>
      </c>
      <c r="I79">
        <v>13</v>
      </c>
    </row>
    <row r="80" spans="1:9" ht="12.75">
      <c r="A80" t="s">
        <v>664</v>
      </c>
      <c r="B80" t="s">
        <v>1459</v>
      </c>
      <c r="C80" s="301">
        <v>141090693</v>
      </c>
      <c r="D80">
        <v>23</v>
      </c>
      <c r="F80" t="s">
        <v>319</v>
      </c>
      <c r="G80" t="s">
        <v>322</v>
      </c>
      <c r="H80" s="301">
        <v>17546155</v>
      </c>
      <c r="I80">
        <v>13</v>
      </c>
    </row>
    <row r="81" spans="1:9" ht="12.75">
      <c r="A81" t="s">
        <v>668</v>
      </c>
      <c r="B81" t="s">
        <v>1460</v>
      </c>
      <c r="C81" s="301">
        <v>61630788</v>
      </c>
      <c r="D81">
        <v>23</v>
      </c>
      <c r="F81" t="s">
        <v>1461</v>
      </c>
      <c r="G81" t="s">
        <v>1462</v>
      </c>
      <c r="H81" s="301">
        <v>40193920</v>
      </c>
      <c r="I81">
        <v>13</v>
      </c>
    </row>
    <row r="82" spans="1:9" ht="12.75">
      <c r="A82" t="s">
        <v>670</v>
      </c>
      <c r="B82" t="s">
        <v>1463</v>
      </c>
      <c r="C82" s="301">
        <v>62381796</v>
      </c>
      <c r="D82">
        <v>23</v>
      </c>
      <c r="F82" t="s">
        <v>1464</v>
      </c>
      <c r="G82" t="s">
        <v>1465</v>
      </c>
      <c r="H82" s="301">
        <v>54900436</v>
      </c>
      <c r="I82">
        <v>13</v>
      </c>
    </row>
    <row r="83" spans="1:9" ht="12.75">
      <c r="A83" t="s">
        <v>1466</v>
      </c>
      <c r="B83" t="s">
        <v>1467</v>
      </c>
      <c r="C83" s="301">
        <v>19758398</v>
      </c>
      <c r="D83">
        <v>23</v>
      </c>
      <c r="F83" t="s">
        <v>1468</v>
      </c>
      <c r="G83" t="s">
        <v>320</v>
      </c>
      <c r="H83" s="301">
        <v>77050928</v>
      </c>
      <c r="I83">
        <v>13</v>
      </c>
    </row>
    <row r="84" spans="1:9" ht="12.75">
      <c r="A84" t="s">
        <v>1469</v>
      </c>
      <c r="B84" t="s">
        <v>1470</v>
      </c>
      <c r="C84" s="301">
        <v>99931261</v>
      </c>
      <c r="D84">
        <v>23</v>
      </c>
      <c r="F84" t="s">
        <v>1471</v>
      </c>
      <c r="G84" t="s">
        <v>328</v>
      </c>
      <c r="H84" s="301">
        <v>22316568</v>
      </c>
      <c r="I84">
        <v>13</v>
      </c>
    </row>
    <row r="85" spans="1:9" ht="12.75">
      <c r="A85" t="s">
        <v>1472</v>
      </c>
      <c r="B85" t="s">
        <v>1473</v>
      </c>
      <c r="C85" s="301">
        <v>83768562</v>
      </c>
      <c r="D85">
        <v>23</v>
      </c>
      <c r="F85" t="s">
        <v>331</v>
      </c>
      <c r="G85" t="s">
        <v>332</v>
      </c>
      <c r="H85" s="301">
        <v>106948438</v>
      </c>
      <c r="I85">
        <v>13</v>
      </c>
    </row>
    <row r="86" spans="1:9" ht="12.75">
      <c r="A86" t="s">
        <v>1474</v>
      </c>
      <c r="B86" t="s">
        <v>671</v>
      </c>
      <c r="C86" s="301">
        <v>107265985</v>
      </c>
      <c r="D86">
        <v>23</v>
      </c>
      <c r="F86" t="s">
        <v>333</v>
      </c>
      <c r="G86" t="s">
        <v>334</v>
      </c>
      <c r="H86" s="301">
        <v>53790831</v>
      </c>
      <c r="I86">
        <v>13</v>
      </c>
    </row>
    <row r="87" spans="1:9" ht="12.75">
      <c r="A87" t="s">
        <v>1475</v>
      </c>
      <c r="B87" t="s">
        <v>1476</v>
      </c>
      <c r="C87" s="301">
        <v>26413196</v>
      </c>
      <c r="D87">
        <v>23</v>
      </c>
      <c r="F87" t="s">
        <v>335</v>
      </c>
      <c r="G87" t="s">
        <v>336</v>
      </c>
      <c r="H87" s="301">
        <v>204239964</v>
      </c>
      <c r="I87">
        <v>13</v>
      </c>
    </row>
    <row r="88" spans="1:9" ht="12.75">
      <c r="A88" t="s">
        <v>1477</v>
      </c>
      <c r="B88" t="s">
        <v>673</v>
      </c>
      <c r="C88" s="301">
        <v>57411686</v>
      </c>
      <c r="D88">
        <v>23</v>
      </c>
      <c r="F88" t="s">
        <v>337</v>
      </c>
      <c r="G88" t="s">
        <v>338</v>
      </c>
      <c r="H88" s="301">
        <v>136444348</v>
      </c>
      <c r="I88">
        <v>13</v>
      </c>
    </row>
    <row r="89" spans="1:9" ht="12.75">
      <c r="A89" t="s">
        <v>676</v>
      </c>
      <c r="B89" t="s">
        <v>685</v>
      </c>
      <c r="C89" s="301">
        <v>124670148</v>
      </c>
      <c r="D89">
        <v>23</v>
      </c>
      <c r="F89" t="s">
        <v>339</v>
      </c>
      <c r="G89" t="s">
        <v>1478</v>
      </c>
      <c r="H89" s="301">
        <v>29686485</v>
      </c>
      <c r="I89">
        <v>13</v>
      </c>
    </row>
    <row r="90" spans="1:9" ht="12.75">
      <c r="A90" t="s">
        <v>1479</v>
      </c>
      <c r="B90" t="s">
        <v>677</v>
      </c>
      <c r="C90" s="301">
        <v>76145344</v>
      </c>
      <c r="D90">
        <v>23</v>
      </c>
      <c r="F90" t="s">
        <v>1480</v>
      </c>
      <c r="G90" t="s">
        <v>342</v>
      </c>
      <c r="H90" s="301">
        <v>32926564</v>
      </c>
      <c r="I90">
        <v>13</v>
      </c>
    </row>
    <row r="91" spans="1:9" ht="12.75">
      <c r="A91" t="s">
        <v>1481</v>
      </c>
      <c r="B91" t="s">
        <v>683</v>
      </c>
      <c r="C91" s="301">
        <v>181658331</v>
      </c>
      <c r="D91">
        <v>23</v>
      </c>
      <c r="F91" t="s">
        <v>1482</v>
      </c>
      <c r="G91" t="s">
        <v>340</v>
      </c>
      <c r="H91" s="301">
        <v>134159918</v>
      </c>
      <c r="I91">
        <v>13</v>
      </c>
    </row>
    <row r="92" spans="1:9" ht="12.75">
      <c r="A92" t="s">
        <v>1483</v>
      </c>
      <c r="B92" t="s">
        <v>679</v>
      </c>
      <c r="C92" s="301">
        <v>92748927</v>
      </c>
      <c r="D92">
        <v>23</v>
      </c>
      <c r="F92" t="s">
        <v>1484</v>
      </c>
      <c r="G92" t="s">
        <v>1485</v>
      </c>
      <c r="H92" s="301">
        <v>33803781</v>
      </c>
      <c r="I92">
        <v>13</v>
      </c>
    </row>
    <row r="93" spans="1:9" ht="12.75">
      <c r="A93" t="s">
        <v>1486</v>
      </c>
      <c r="B93" t="s">
        <v>681</v>
      </c>
      <c r="C93" s="301">
        <v>62929724</v>
      </c>
      <c r="D93">
        <v>23</v>
      </c>
      <c r="F93" t="s">
        <v>341</v>
      </c>
      <c r="G93" t="s">
        <v>1487</v>
      </c>
      <c r="H93" s="301">
        <v>49546257</v>
      </c>
      <c r="I93">
        <v>13</v>
      </c>
    </row>
    <row r="94" spans="1:9" ht="12.75">
      <c r="A94" t="s">
        <v>1488</v>
      </c>
      <c r="B94" t="s">
        <v>687</v>
      </c>
      <c r="C94" s="301">
        <v>81889307</v>
      </c>
      <c r="D94">
        <v>23</v>
      </c>
      <c r="F94" t="s">
        <v>347</v>
      </c>
      <c r="G94" t="s">
        <v>1489</v>
      </c>
      <c r="H94" s="301">
        <v>28860490</v>
      </c>
      <c r="I94">
        <v>13</v>
      </c>
    </row>
    <row r="95" spans="1:9" ht="12.75">
      <c r="A95" t="s">
        <v>1490</v>
      </c>
      <c r="B95" t="s">
        <v>689</v>
      </c>
      <c r="C95" s="301">
        <v>71274557</v>
      </c>
      <c r="D95">
        <v>23</v>
      </c>
      <c r="F95" t="s">
        <v>351</v>
      </c>
      <c r="G95" t="s">
        <v>1491</v>
      </c>
      <c r="H95" s="301">
        <v>19778432</v>
      </c>
      <c r="I95">
        <v>13</v>
      </c>
    </row>
    <row r="96" spans="1:9" ht="12.75">
      <c r="A96" t="s">
        <v>1492</v>
      </c>
      <c r="B96" t="s">
        <v>695</v>
      </c>
      <c r="C96" s="301">
        <v>70181016</v>
      </c>
      <c r="D96">
        <v>23</v>
      </c>
      <c r="F96" t="s">
        <v>1493</v>
      </c>
      <c r="G96" t="s">
        <v>346</v>
      </c>
      <c r="H96" s="301">
        <v>37307418</v>
      </c>
      <c r="I96">
        <v>13</v>
      </c>
    </row>
    <row r="97" spans="1:9" ht="12.75">
      <c r="A97" t="s">
        <v>1494</v>
      </c>
      <c r="B97" t="s">
        <v>697</v>
      </c>
      <c r="C97" s="301">
        <v>15464552</v>
      </c>
      <c r="D97">
        <v>23</v>
      </c>
      <c r="F97" t="s">
        <v>1495</v>
      </c>
      <c r="G97" t="s">
        <v>1496</v>
      </c>
      <c r="H97" s="301">
        <v>83139995</v>
      </c>
      <c r="I97">
        <v>13</v>
      </c>
    </row>
    <row r="98" spans="1:9" ht="12.75">
      <c r="A98" t="s">
        <v>698</v>
      </c>
      <c r="B98" t="s">
        <v>699</v>
      </c>
      <c r="C98" s="301">
        <v>50837630</v>
      </c>
      <c r="D98">
        <v>23</v>
      </c>
      <c r="F98" t="s">
        <v>353</v>
      </c>
      <c r="G98" t="s">
        <v>354</v>
      </c>
      <c r="H98" s="301">
        <v>32166024</v>
      </c>
      <c r="I98">
        <v>13</v>
      </c>
    </row>
    <row r="99" spans="1:9" ht="12.75">
      <c r="A99" t="s">
        <v>1497</v>
      </c>
      <c r="B99" t="s">
        <v>701</v>
      </c>
      <c r="C99" s="301">
        <v>43023104</v>
      </c>
      <c r="D99">
        <v>23</v>
      </c>
      <c r="F99" t="s">
        <v>355</v>
      </c>
      <c r="G99" t="s">
        <v>356</v>
      </c>
      <c r="H99" s="301">
        <v>71985846</v>
      </c>
      <c r="I99">
        <v>13</v>
      </c>
    </row>
    <row r="100" spans="1:9" ht="12.75">
      <c r="A100" t="s">
        <v>1498</v>
      </c>
      <c r="B100" t="s">
        <v>1499</v>
      </c>
      <c r="C100" s="301">
        <v>18681268</v>
      </c>
      <c r="D100">
        <v>23</v>
      </c>
      <c r="F100" t="s">
        <v>357</v>
      </c>
      <c r="G100" t="s">
        <v>1500</v>
      </c>
      <c r="H100" s="301">
        <v>23205107</v>
      </c>
      <c r="I100">
        <v>13</v>
      </c>
    </row>
    <row r="101" spans="1:9" ht="12.75">
      <c r="A101" t="s">
        <v>1501</v>
      </c>
      <c r="B101" t="s">
        <v>705</v>
      </c>
      <c r="C101" s="301">
        <v>27751191</v>
      </c>
      <c r="D101">
        <v>23</v>
      </c>
      <c r="F101" t="s">
        <v>1502</v>
      </c>
      <c r="G101" t="s">
        <v>360</v>
      </c>
      <c r="H101" s="301">
        <v>30145727</v>
      </c>
      <c r="I101">
        <v>13</v>
      </c>
    </row>
    <row r="102" spans="1:9" ht="12.75">
      <c r="A102" t="s">
        <v>1503</v>
      </c>
      <c r="B102" t="s">
        <v>1504</v>
      </c>
      <c r="C102" s="301">
        <v>43392881</v>
      </c>
      <c r="D102">
        <v>23</v>
      </c>
      <c r="F102" t="s">
        <v>1505</v>
      </c>
      <c r="G102" t="s">
        <v>362</v>
      </c>
      <c r="H102" s="301">
        <v>226041917</v>
      </c>
      <c r="I102">
        <v>13</v>
      </c>
    </row>
    <row r="103" spans="1:9" ht="12.75">
      <c r="A103" t="s">
        <v>1506</v>
      </c>
      <c r="B103" t="s">
        <v>1507</v>
      </c>
      <c r="C103" s="301">
        <v>28217990</v>
      </c>
      <c r="D103">
        <v>23</v>
      </c>
      <c r="F103" t="s">
        <v>1508</v>
      </c>
      <c r="G103" t="s">
        <v>364</v>
      </c>
      <c r="H103" s="301">
        <v>116119753</v>
      </c>
      <c r="I103">
        <v>13</v>
      </c>
    </row>
    <row r="104" spans="1:9" ht="12.75">
      <c r="A104" t="s">
        <v>1509</v>
      </c>
      <c r="B104" t="s">
        <v>713</v>
      </c>
      <c r="C104" s="301">
        <v>43522638</v>
      </c>
      <c r="D104">
        <v>23</v>
      </c>
      <c r="F104" t="s">
        <v>1510</v>
      </c>
      <c r="G104" t="s">
        <v>366</v>
      </c>
      <c r="H104" s="301">
        <v>60786580</v>
      </c>
      <c r="I104">
        <v>13</v>
      </c>
    </row>
    <row r="105" spans="1:9" ht="12.75">
      <c r="A105" t="s">
        <v>1511</v>
      </c>
      <c r="B105" t="s">
        <v>709</v>
      </c>
      <c r="C105" s="301">
        <v>55060044</v>
      </c>
      <c r="D105">
        <v>23</v>
      </c>
      <c r="F105" t="s">
        <v>1512</v>
      </c>
      <c r="G105" t="s">
        <v>372</v>
      </c>
      <c r="H105" s="301">
        <v>26530883</v>
      </c>
      <c r="I105">
        <v>13</v>
      </c>
    </row>
    <row r="106" spans="1:9" ht="12.75">
      <c r="A106" t="s">
        <v>1513</v>
      </c>
      <c r="B106" t="s">
        <v>1514</v>
      </c>
      <c r="C106" s="301">
        <v>38542031</v>
      </c>
      <c r="D106">
        <v>23</v>
      </c>
      <c r="F106" t="s">
        <v>1515</v>
      </c>
      <c r="G106" t="s">
        <v>374</v>
      </c>
      <c r="H106" s="301">
        <v>34345214</v>
      </c>
      <c r="I106">
        <v>13</v>
      </c>
    </row>
    <row r="107" spans="1:9" ht="12.75">
      <c r="A107" t="s">
        <v>1516</v>
      </c>
      <c r="B107" t="s">
        <v>1517</v>
      </c>
      <c r="C107" s="301">
        <v>77405900</v>
      </c>
      <c r="D107">
        <v>23</v>
      </c>
      <c r="F107" t="s">
        <v>359</v>
      </c>
      <c r="G107" t="s">
        <v>1518</v>
      </c>
      <c r="H107" s="301">
        <v>60194222</v>
      </c>
      <c r="I107">
        <v>13</v>
      </c>
    </row>
    <row r="108" spans="1:9" ht="12.75">
      <c r="A108" t="s">
        <v>714</v>
      </c>
      <c r="B108" t="s">
        <v>1519</v>
      </c>
      <c r="C108" s="301">
        <v>146246818</v>
      </c>
      <c r="D108">
        <v>23</v>
      </c>
      <c r="F108" t="s">
        <v>367</v>
      </c>
      <c r="G108" t="s">
        <v>1520</v>
      </c>
      <c r="H108" s="301">
        <v>154059664</v>
      </c>
      <c r="I108">
        <v>13</v>
      </c>
    </row>
    <row r="109" spans="1:9" ht="12.75">
      <c r="A109" t="s">
        <v>718</v>
      </c>
      <c r="B109" t="s">
        <v>1521</v>
      </c>
      <c r="C109" s="301">
        <v>29264596</v>
      </c>
      <c r="D109">
        <v>23</v>
      </c>
      <c r="F109" t="s">
        <v>1522</v>
      </c>
      <c r="G109" t="s">
        <v>378</v>
      </c>
      <c r="H109" s="301">
        <v>33916644</v>
      </c>
      <c r="I109">
        <v>13</v>
      </c>
    </row>
    <row r="110" spans="1:9" ht="12.75">
      <c r="A110" t="s">
        <v>720</v>
      </c>
      <c r="B110" t="s">
        <v>1523</v>
      </c>
      <c r="C110" s="301">
        <v>64988189</v>
      </c>
      <c r="D110">
        <v>23</v>
      </c>
      <c r="F110" t="s">
        <v>1524</v>
      </c>
      <c r="G110" t="s">
        <v>370</v>
      </c>
      <c r="H110" s="301">
        <v>29110258</v>
      </c>
      <c r="I110">
        <v>13</v>
      </c>
    </row>
    <row r="111" spans="1:9" ht="12.75">
      <c r="A111" t="s">
        <v>1525</v>
      </c>
      <c r="B111" t="s">
        <v>1526</v>
      </c>
      <c r="C111" s="301">
        <v>82547001</v>
      </c>
      <c r="D111">
        <v>23</v>
      </c>
      <c r="F111" t="s">
        <v>371</v>
      </c>
      <c r="G111" t="s">
        <v>384</v>
      </c>
      <c r="H111" s="301">
        <v>90830188</v>
      </c>
      <c r="I111">
        <v>13</v>
      </c>
    </row>
    <row r="112" spans="1:9" ht="12.75">
      <c r="A112" t="s">
        <v>1527</v>
      </c>
      <c r="B112" t="s">
        <v>723</v>
      </c>
      <c r="C112" s="301">
        <v>47450214</v>
      </c>
      <c r="D112">
        <v>23</v>
      </c>
      <c r="F112" t="s">
        <v>1528</v>
      </c>
      <c r="G112" t="s">
        <v>1529</v>
      </c>
      <c r="H112" s="301">
        <v>59142762</v>
      </c>
      <c r="I112">
        <v>13</v>
      </c>
    </row>
    <row r="113" spans="1:9" ht="12.75">
      <c r="A113" t="s">
        <v>1530</v>
      </c>
      <c r="B113" t="s">
        <v>1531</v>
      </c>
      <c r="C113" s="301">
        <v>34963314</v>
      </c>
      <c r="D113">
        <v>23</v>
      </c>
      <c r="F113" t="s">
        <v>377</v>
      </c>
      <c r="G113" t="s">
        <v>388</v>
      </c>
      <c r="H113" s="301">
        <v>63954482</v>
      </c>
      <c r="I113">
        <v>13</v>
      </c>
    </row>
    <row r="114" spans="1:9" ht="12.75">
      <c r="A114" t="s">
        <v>724</v>
      </c>
      <c r="B114" t="s">
        <v>725</v>
      </c>
      <c r="C114" s="301">
        <v>28016745</v>
      </c>
      <c r="D114">
        <v>23</v>
      </c>
      <c r="F114" t="s">
        <v>389</v>
      </c>
      <c r="G114" t="s">
        <v>390</v>
      </c>
      <c r="H114" s="301">
        <v>52442884</v>
      </c>
      <c r="I114">
        <v>13</v>
      </c>
    </row>
    <row r="115" spans="1:9" ht="12.75">
      <c r="A115" t="s">
        <v>726</v>
      </c>
      <c r="B115" t="s">
        <v>727</v>
      </c>
      <c r="C115" s="301">
        <v>79367868</v>
      </c>
      <c r="D115">
        <v>23</v>
      </c>
      <c r="F115" t="s">
        <v>393</v>
      </c>
      <c r="G115" t="s">
        <v>394</v>
      </c>
      <c r="H115" s="301">
        <v>46654418</v>
      </c>
      <c r="I115">
        <v>13</v>
      </c>
    </row>
    <row r="116" spans="1:9" ht="12.75">
      <c r="A116" t="s">
        <v>728</v>
      </c>
      <c r="B116" t="s">
        <v>729</v>
      </c>
      <c r="C116" s="301">
        <v>14696662</v>
      </c>
      <c r="D116">
        <v>23</v>
      </c>
      <c r="F116" t="s">
        <v>399</v>
      </c>
      <c r="G116" t="s">
        <v>400</v>
      </c>
      <c r="H116" s="301">
        <v>111667817</v>
      </c>
      <c r="I116">
        <v>13</v>
      </c>
    </row>
    <row r="117" spans="1:9" ht="12.75">
      <c r="A117" t="s">
        <v>732</v>
      </c>
      <c r="B117" t="s">
        <v>731</v>
      </c>
      <c r="C117" s="301">
        <v>76719449</v>
      </c>
      <c r="D117">
        <v>23</v>
      </c>
      <c r="F117" t="s">
        <v>401</v>
      </c>
      <c r="G117" t="s">
        <v>402</v>
      </c>
      <c r="H117" s="301">
        <v>84053408</v>
      </c>
      <c r="I117">
        <v>13</v>
      </c>
    </row>
    <row r="118" spans="1:9" ht="12.75">
      <c r="A118" t="s">
        <v>1532</v>
      </c>
      <c r="B118" t="s">
        <v>741</v>
      </c>
      <c r="C118" s="301">
        <v>26544925</v>
      </c>
      <c r="D118">
        <v>23</v>
      </c>
      <c r="F118" t="s">
        <v>1533</v>
      </c>
      <c r="G118" t="s">
        <v>1534</v>
      </c>
      <c r="H118" s="301">
        <v>79751774</v>
      </c>
      <c r="I118">
        <v>13</v>
      </c>
    </row>
    <row r="119" spans="1:9" ht="12.75">
      <c r="A119" t="s">
        <v>1535</v>
      </c>
      <c r="B119" t="s">
        <v>1536</v>
      </c>
      <c r="C119" s="301">
        <v>24161136</v>
      </c>
      <c r="D119">
        <v>23</v>
      </c>
      <c r="F119" t="s">
        <v>411</v>
      </c>
      <c r="G119" t="s">
        <v>410</v>
      </c>
      <c r="H119" s="301">
        <v>190070601</v>
      </c>
      <c r="I119">
        <v>13</v>
      </c>
    </row>
    <row r="120" spans="1:9" ht="12.75">
      <c r="A120" t="s">
        <v>1537</v>
      </c>
      <c r="B120" t="s">
        <v>733</v>
      </c>
      <c r="C120" s="301">
        <v>96407188</v>
      </c>
      <c r="D120">
        <v>23</v>
      </c>
      <c r="F120" t="s">
        <v>413</v>
      </c>
      <c r="G120" t="s">
        <v>406</v>
      </c>
      <c r="H120" s="301">
        <v>59681482</v>
      </c>
      <c r="I120">
        <v>13</v>
      </c>
    </row>
    <row r="121" spans="1:9" ht="12.75">
      <c r="A121" t="s">
        <v>1538</v>
      </c>
      <c r="B121" t="s">
        <v>1539</v>
      </c>
      <c r="C121" s="301">
        <v>47017377</v>
      </c>
      <c r="D121">
        <v>23</v>
      </c>
      <c r="F121" t="s">
        <v>415</v>
      </c>
      <c r="G121" t="s">
        <v>1540</v>
      </c>
      <c r="H121" s="301">
        <v>54577255</v>
      </c>
      <c r="I121">
        <v>13</v>
      </c>
    </row>
    <row r="122" spans="1:9" ht="12.75">
      <c r="A122" t="s">
        <v>1541</v>
      </c>
      <c r="B122" t="s">
        <v>739</v>
      </c>
      <c r="C122" s="301">
        <v>79513239</v>
      </c>
      <c r="D122">
        <v>23</v>
      </c>
      <c r="F122" t="s">
        <v>1542</v>
      </c>
      <c r="G122" t="s">
        <v>408</v>
      </c>
      <c r="H122" s="301">
        <v>52401556</v>
      </c>
      <c r="I122">
        <v>13</v>
      </c>
    </row>
    <row r="123" spans="1:9" ht="12.75">
      <c r="A123" t="s">
        <v>1543</v>
      </c>
      <c r="B123" t="s">
        <v>1544</v>
      </c>
      <c r="C123" s="301">
        <v>160185522</v>
      </c>
      <c r="D123">
        <v>23</v>
      </c>
      <c r="F123" t="s">
        <v>1545</v>
      </c>
      <c r="G123" t="s">
        <v>1546</v>
      </c>
      <c r="H123" s="301">
        <v>75028877</v>
      </c>
      <c r="I123">
        <v>13</v>
      </c>
    </row>
    <row r="124" spans="1:9" ht="12.75">
      <c r="A124" t="s">
        <v>1547</v>
      </c>
      <c r="B124" t="s">
        <v>759</v>
      </c>
      <c r="C124" s="301">
        <v>6375732</v>
      </c>
      <c r="D124">
        <v>23</v>
      </c>
      <c r="F124" t="s">
        <v>1548</v>
      </c>
      <c r="G124" t="s">
        <v>418</v>
      </c>
      <c r="H124" s="301">
        <v>41386926</v>
      </c>
      <c r="I124">
        <v>13</v>
      </c>
    </row>
    <row r="125" spans="1:9" ht="12.75">
      <c r="A125" t="s">
        <v>1549</v>
      </c>
      <c r="B125" t="s">
        <v>755</v>
      </c>
      <c r="C125" s="301">
        <v>337862502</v>
      </c>
      <c r="D125">
        <v>23</v>
      </c>
      <c r="F125" t="s">
        <v>1550</v>
      </c>
      <c r="G125" t="s">
        <v>414</v>
      </c>
      <c r="H125" s="301">
        <v>57370423</v>
      </c>
      <c r="I125">
        <v>13</v>
      </c>
    </row>
    <row r="126" spans="1:9" ht="12.75">
      <c r="A126" t="s">
        <v>1551</v>
      </c>
      <c r="B126" t="s">
        <v>1552</v>
      </c>
      <c r="C126" s="301">
        <v>63831794</v>
      </c>
      <c r="D126">
        <v>23</v>
      </c>
      <c r="F126" t="s">
        <v>1553</v>
      </c>
      <c r="G126" t="s">
        <v>1554</v>
      </c>
      <c r="H126" s="301">
        <v>54884560</v>
      </c>
      <c r="I126">
        <v>13</v>
      </c>
    </row>
    <row r="127" spans="1:9" ht="12.75">
      <c r="A127" t="s">
        <v>1555</v>
      </c>
      <c r="B127" t="s">
        <v>757</v>
      </c>
      <c r="C127" s="301">
        <v>140109594</v>
      </c>
      <c r="D127">
        <v>23</v>
      </c>
      <c r="F127" t="s">
        <v>419</v>
      </c>
      <c r="G127" t="s">
        <v>1556</v>
      </c>
      <c r="H127" s="301">
        <v>25169543</v>
      </c>
      <c r="I127">
        <v>13</v>
      </c>
    </row>
    <row r="128" spans="1:9" ht="12.75">
      <c r="A128" t="s">
        <v>776</v>
      </c>
      <c r="B128" t="s">
        <v>1557</v>
      </c>
      <c r="C128" s="301">
        <v>1093191691</v>
      </c>
      <c r="D128">
        <v>23</v>
      </c>
      <c r="F128" t="s">
        <v>421</v>
      </c>
      <c r="G128" t="s">
        <v>422</v>
      </c>
      <c r="H128" s="301">
        <v>15701557</v>
      </c>
      <c r="I128">
        <v>13</v>
      </c>
    </row>
    <row r="129" spans="1:9" ht="12.75">
      <c r="A129" t="s">
        <v>778</v>
      </c>
      <c r="B129" t="s">
        <v>1558</v>
      </c>
      <c r="C129" s="301">
        <v>1811198660</v>
      </c>
      <c r="D129">
        <v>23</v>
      </c>
      <c r="E129" t="s">
        <v>1559</v>
      </c>
      <c r="F129" t="s">
        <v>435</v>
      </c>
      <c r="G129" t="s">
        <v>1560</v>
      </c>
      <c r="H129" s="301">
        <v>21982313</v>
      </c>
      <c r="I129">
        <v>13</v>
      </c>
    </row>
    <row r="130" spans="1:9" ht="12.75">
      <c r="A130" t="s">
        <v>1561</v>
      </c>
      <c r="B130" t="s">
        <v>1562</v>
      </c>
      <c r="C130" s="301">
        <v>139665402</v>
      </c>
      <c r="D130">
        <v>23</v>
      </c>
      <c r="F130" t="s">
        <v>1563</v>
      </c>
      <c r="G130" t="s">
        <v>1564</v>
      </c>
      <c r="H130" s="301">
        <v>24689078</v>
      </c>
      <c r="I130">
        <v>13</v>
      </c>
    </row>
    <row r="131" spans="1:9" ht="12.75">
      <c r="A131" t="s">
        <v>782</v>
      </c>
      <c r="B131" t="s">
        <v>783</v>
      </c>
      <c r="C131" s="301">
        <v>171231325</v>
      </c>
      <c r="D131">
        <v>23</v>
      </c>
      <c r="F131" t="s">
        <v>1565</v>
      </c>
      <c r="G131" t="s">
        <v>1566</v>
      </c>
      <c r="H131" s="301">
        <v>42133135</v>
      </c>
      <c r="I131">
        <v>13</v>
      </c>
    </row>
    <row r="132" spans="1:9" ht="12.75">
      <c r="A132" t="s">
        <v>784</v>
      </c>
      <c r="B132" t="s">
        <v>785</v>
      </c>
      <c r="C132" s="301">
        <v>92155867</v>
      </c>
      <c r="D132">
        <v>23</v>
      </c>
      <c r="F132" t="s">
        <v>1567</v>
      </c>
      <c r="G132" t="s">
        <v>1568</v>
      </c>
      <c r="H132" s="301">
        <v>33239238</v>
      </c>
      <c r="I132">
        <v>13</v>
      </c>
    </row>
    <row r="133" spans="1:9" ht="12.75">
      <c r="A133" t="s">
        <v>786</v>
      </c>
      <c r="B133" t="s">
        <v>787</v>
      </c>
      <c r="C133" s="301">
        <v>103181516</v>
      </c>
      <c r="D133">
        <v>23</v>
      </c>
      <c r="F133" t="s">
        <v>1569</v>
      </c>
      <c r="G133" t="s">
        <v>1570</v>
      </c>
      <c r="H133" s="301">
        <v>71164714</v>
      </c>
      <c r="I133">
        <v>13</v>
      </c>
    </row>
    <row r="134" spans="1:9" ht="12.75">
      <c r="A134" t="s">
        <v>1571</v>
      </c>
      <c r="B134" t="s">
        <v>1572</v>
      </c>
      <c r="C134" s="301">
        <v>429125279</v>
      </c>
      <c r="D134">
        <v>23</v>
      </c>
      <c r="F134" t="s">
        <v>1573</v>
      </c>
      <c r="G134" t="s">
        <v>1574</v>
      </c>
      <c r="H134" s="301">
        <v>12925404</v>
      </c>
      <c r="I134">
        <v>13</v>
      </c>
    </row>
    <row r="135" spans="1:9" ht="12.75">
      <c r="A135" t="s">
        <v>1575</v>
      </c>
      <c r="B135" t="s">
        <v>793</v>
      </c>
      <c r="C135" s="301">
        <v>76650743</v>
      </c>
      <c r="D135">
        <v>23</v>
      </c>
      <c r="F135" t="s">
        <v>1576</v>
      </c>
      <c r="G135" t="s">
        <v>1577</v>
      </c>
      <c r="H135" s="301">
        <v>17004791</v>
      </c>
      <c r="I135">
        <v>13</v>
      </c>
    </row>
    <row r="136" spans="1:9" ht="12.75">
      <c r="A136" t="s">
        <v>794</v>
      </c>
      <c r="B136" t="s">
        <v>797</v>
      </c>
      <c r="C136" s="301">
        <v>435714934</v>
      </c>
      <c r="D136">
        <v>23</v>
      </c>
      <c r="F136" t="s">
        <v>1578</v>
      </c>
      <c r="G136" t="s">
        <v>1579</v>
      </c>
      <c r="H136" s="301">
        <v>12332861</v>
      </c>
      <c r="I136">
        <v>13</v>
      </c>
    </row>
    <row r="137" spans="1:9" ht="12.75">
      <c r="A137" t="s">
        <v>1580</v>
      </c>
      <c r="B137" t="s">
        <v>1581</v>
      </c>
      <c r="C137" s="301">
        <v>1806090606</v>
      </c>
      <c r="D137">
        <v>23</v>
      </c>
      <c r="F137" t="s">
        <v>1582</v>
      </c>
      <c r="G137" t="s">
        <v>1583</v>
      </c>
      <c r="H137" s="301">
        <v>25656087</v>
      </c>
      <c r="I137">
        <v>13</v>
      </c>
    </row>
    <row r="138" spans="1:9" ht="12.75">
      <c r="A138" t="s">
        <v>1584</v>
      </c>
      <c r="B138" t="s">
        <v>1585</v>
      </c>
      <c r="C138" s="301">
        <v>701610970</v>
      </c>
      <c r="D138">
        <v>23</v>
      </c>
      <c r="F138" t="s">
        <v>441</v>
      </c>
      <c r="G138" t="s">
        <v>442</v>
      </c>
      <c r="H138" s="301">
        <v>283822801</v>
      </c>
      <c r="I138">
        <v>13</v>
      </c>
    </row>
    <row r="139" spans="1:9" ht="12.75">
      <c r="A139" t="s">
        <v>1586</v>
      </c>
      <c r="B139" t="s">
        <v>1587</v>
      </c>
      <c r="C139" s="301">
        <v>42346718</v>
      </c>
      <c r="D139">
        <v>23</v>
      </c>
      <c r="F139" t="s">
        <v>443</v>
      </c>
      <c r="G139" t="s">
        <v>1588</v>
      </c>
      <c r="H139" s="301">
        <v>33670389</v>
      </c>
      <c r="I139">
        <v>13</v>
      </c>
    </row>
    <row r="140" spans="1:9" ht="12.75">
      <c r="A140" t="s">
        <v>1589</v>
      </c>
      <c r="B140" t="s">
        <v>817</v>
      </c>
      <c r="C140" s="301">
        <v>111558459</v>
      </c>
      <c r="D140">
        <v>23</v>
      </c>
      <c r="F140" t="s">
        <v>1590</v>
      </c>
      <c r="G140" t="s">
        <v>1591</v>
      </c>
      <c r="H140" s="301">
        <v>16721239</v>
      </c>
      <c r="I140">
        <v>13</v>
      </c>
    </row>
    <row r="141" spans="1:9" ht="12.75">
      <c r="A141" t="s">
        <v>1592</v>
      </c>
      <c r="B141" t="s">
        <v>841</v>
      </c>
      <c r="C141" s="301">
        <v>215999999</v>
      </c>
      <c r="D141">
        <v>23</v>
      </c>
      <c r="F141" t="s">
        <v>447</v>
      </c>
      <c r="G141" t="s">
        <v>448</v>
      </c>
      <c r="H141" s="301">
        <v>80439274</v>
      </c>
      <c r="I141">
        <v>13</v>
      </c>
    </row>
    <row r="142" spans="1:9" ht="12.75">
      <c r="A142" t="s">
        <v>842</v>
      </c>
      <c r="B142" t="s">
        <v>1593</v>
      </c>
      <c r="C142" s="301">
        <v>206077969</v>
      </c>
      <c r="D142">
        <v>23</v>
      </c>
      <c r="F142" t="s">
        <v>449</v>
      </c>
      <c r="G142" t="s">
        <v>1020</v>
      </c>
      <c r="H142" s="301">
        <v>256935098</v>
      </c>
      <c r="I142">
        <v>13</v>
      </c>
    </row>
    <row r="143" spans="1:9" ht="12.75">
      <c r="A143" t="s">
        <v>1594</v>
      </c>
      <c r="B143" t="s">
        <v>1595</v>
      </c>
      <c r="C143" s="301">
        <v>1102334853</v>
      </c>
      <c r="D143">
        <v>23</v>
      </c>
      <c r="F143" t="s">
        <v>1596</v>
      </c>
      <c r="G143" t="s">
        <v>1597</v>
      </c>
      <c r="H143" s="301">
        <v>67371003</v>
      </c>
      <c r="I143">
        <v>13</v>
      </c>
    </row>
    <row r="144" spans="1:9" ht="12.75">
      <c r="A144" t="s">
        <v>1598</v>
      </c>
      <c r="B144" t="s">
        <v>849</v>
      </c>
      <c r="C144" s="301">
        <v>396706311</v>
      </c>
      <c r="D144">
        <v>23</v>
      </c>
      <c r="F144" t="s">
        <v>453</v>
      </c>
      <c r="G144" t="s">
        <v>1599</v>
      </c>
      <c r="H144" s="301">
        <v>56367236</v>
      </c>
      <c r="I144">
        <v>13</v>
      </c>
    </row>
    <row r="145" spans="1:9" ht="12.75">
      <c r="A145" t="s">
        <v>1600</v>
      </c>
      <c r="B145" t="s">
        <v>1601</v>
      </c>
      <c r="C145" s="301">
        <v>35376643</v>
      </c>
      <c r="D145">
        <v>23</v>
      </c>
      <c r="F145" t="s">
        <v>456</v>
      </c>
      <c r="G145" t="s">
        <v>457</v>
      </c>
      <c r="H145" s="301">
        <v>48313803</v>
      </c>
      <c r="I145">
        <v>13</v>
      </c>
    </row>
    <row r="146" spans="1:9" ht="12.75">
      <c r="A146" t="s">
        <v>1602</v>
      </c>
      <c r="B146" t="s">
        <v>855</v>
      </c>
      <c r="C146" s="301">
        <v>493604047</v>
      </c>
      <c r="D146">
        <v>23</v>
      </c>
      <c r="F146" t="s">
        <v>458</v>
      </c>
      <c r="G146" t="s">
        <v>1603</v>
      </c>
      <c r="H146" s="301">
        <v>17261779</v>
      </c>
      <c r="I146">
        <v>13</v>
      </c>
    </row>
    <row r="147" spans="1:9" ht="12.75">
      <c r="A147" t="s">
        <v>1604</v>
      </c>
      <c r="B147" t="s">
        <v>1605</v>
      </c>
      <c r="C147" s="301">
        <v>21469145</v>
      </c>
      <c r="D147">
        <v>23</v>
      </c>
      <c r="F147" t="s">
        <v>1606</v>
      </c>
      <c r="G147" t="s">
        <v>1607</v>
      </c>
      <c r="H147" s="301">
        <v>126618253</v>
      </c>
      <c r="I147">
        <v>13</v>
      </c>
    </row>
    <row r="148" spans="1:9" ht="12.75">
      <c r="A148" t="s">
        <v>1608</v>
      </c>
      <c r="B148" t="s">
        <v>1609</v>
      </c>
      <c r="C148" s="301">
        <v>39541054</v>
      </c>
      <c r="D148">
        <v>23</v>
      </c>
      <c r="F148" t="s">
        <v>754</v>
      </c>
      <c r="G148" t="s">
        <v>751</v>
      </c>
      <c r="H148" s="301">
        <v>238860153</v>
      </c>
      <c r="I148">
        <v>13</v>
      </c>
    </row>
    <row r="149" spans="1:11" ht="12.75">
      <c r="A149" t="s">
        <v>1610</v>
      </c>
      <c r="B149" t="s">
        <v>1611</v>
      </c>
      <c r="C149" s="301">
        <v>24271863</v>
      </c>
      <c r="D149">
        <v>23</v>
      </c>
      <c r="F149" s="9" t="s">
        <v>1612</v>
      </c>
      <c r="G149" s="9" t="s">
        <v>933</v>
      </c>
      <c r="H149" s="309">
        <v>103285809</v>
      </c>
      <c r="I149" s="9">
        <v>13</v>
      </c>
      <c r="J149" s="9"/>
      <c r="K149" s="9"/>
    </row>
    <row r="150" spans="1:11" ht="12.75">
      <c r="A150" t="s">
        <v>1613</v>
      </c>
      <c r="B150" t="s">
        <v>1614</v>
      </c>
      <c r="C150" s="301">
        <v>24967147</v>
      </c>
      <c r="D150">
        <v>23</v>
      </c>
      <c r="F150" s="19" t="s">
        <v>1615</v>
      </c>
      <c r="G150" s="19" t="s">
        <v>935</v>
      </c>
      <c r="H150" s="310">
        <v>106247112</v>
      </c>
      <c r="I150" s="19">
        <v>13</v>
      </c>
      <c r="J150" s="310">
        <f>SUM(H1:H150)</f>
        <v>11607830152</v>
      </c>
      <c r="K150" s="62">
        <f>J150/O72*1000</f>
        <v>139.33585943976126</v>
      </c>
    </row>
    <row r="151" spans="1:9" ht="12.75">
      <c r="A151" t="s">
        <v>1616</v>
      </c>
      <c r="B151" t="s">
        <v>1617</v>
      </c>
      <c r="C151" s="301">
        <v>11266421</v>
      </c>
      <c r="D151">
        <v>23</v>
      </c>
      <c r="F151" t="s">
        <v>1004</v>
      </c>
      <c r="G151" t="s">
        <v>182</v>
      </c>
      <c r="H151" s="301">
        <v>286847820</v>
      </c>
      <c r="I151">
        <v>13</v>
      </c>
    </row>
    <row r="152" spans="1:9" ht="12.75">
      <c r="A152" t="s">
        <v>862</v>
      </c>
      <c r="B152" t="s">
        <v>1618</v>
      </c>
      <c r="C152" s="301">
        <v>133706985</v>
      </c>
      <c r="D152">
        <v>23</v>
      </c>
      <c r="F152" t="s">
        <v>1006</v>
      </c>
      <c r="G152" t="s">
        <v>1619</v>
      </c>
      <c r="H152" s="301">
        <v>66215747</v>
      </c>
      <c r="I152">
        <v>13</v>
      </c>
    </row>
    <row r="153" spans="1:11" ht="12.75">
      <c r="A153" t="s">
        <v>1620</v>
      </c>
      <c r="B153" t="s">
        <v>865</v>
      </c>
      <c r="C153" s="301">
        <v>19293016</v>
      </c>
      <c r="D153">
        <v>23</v>
      </c>
      <c r="F153" t="s">
        <v>1015</v>
      </c>
      <c r="G153" t="s">
        <v>1621</v>
      </c>
      <c r="H153" s="301">
        <v>21841360</v>
      </c>
      <c r="I153">
        <v>13</v>
      </c>
      <c r="K153" t="s">
        <v>13</v>
      </c>
    </row>
    <row r="154" spans="1:9" ht="12.75">
      <c r="A154" t="s">
        <v>866</v>
      </c>
      <c r="B154" t="s">
        <v>1622</v>
      </c>
      <c r="C154" s="301">
        <v>452603224</v>
      </c>
      <c r="D154">
        <v>23</v>
      </c>
      <c r="F154" t="s">
        <v>1623</v>
      </c>
      <c r="G154" t="s">
        <v>1011</v>
      </c>
      <c r="H154" s="301">
        <v>152152003</v>
      </c>
      <c r="I154">
        <v>13</v>
      </c>
    </row>
    <row r="155" spans="1:9" ht="12.75">
      <c r="A155" t="s">
        <v>1624</v>
      </c>
      <c r="B155" t="s">
        <v>1625</v>
      </c>
      <c r="C155" s="301">
        <v>45342002</v>
      </c>
      <c r="D155">
        <v>23</v>
      </c>
      <c r="F155" t="s">
        <v>1626</v>
      </c>
      <c r="G155" t="s">
        <v>1627</v>
      </c>
      <c r="H155" s="301">
        <v>149890888</v>
      </c>
      <c r="I155">
        <v>13</v>
      </c>
    </row>
    <row r="156" spans="1:9" ht="12.75">
      <c r="A156" t="s">
        <v>1628</v>
      </c>
      <c r="B156" t="s">
        <v>1629</v>
      </c>
      <c r="C156" s="301">
        <v>33054772</v>
      </c>
      <c r="D156">
        <v>23</v>
      </c>
      <c r="F156" t="s">
        <v>1630</v>
      </c>
      <c r="G156" t="s">
        <v>1007</v>
      </c>
      <c r="H156" s="301">
        <v>135885273</v>
      </c>
      <c r="I156">
        <v>13</v>
      </c>
    </row>
    <row r="157" spans="1:9" ht="12.75">
      <c r="A157" t="s">
        <v>870</v>
      </c>
      <c r="B157" t="s">
        <v>1631</v>
      </c>
      <c r="C157" s="301">
        <v>81924204</v>
      </c>
      <c r="D157">
        <v>23</v>
      </c>
      <c r="F157" t="s">
        <v>1632</v>
      </c>
      <c r="G157" t="s">
        <v>1633</v>
      </c>
      <c r="H157" s="301">
        <v>156993603</v>
      </c>
      <c r="I157">
        <v>13</v>
      </c>
    </row>
    <row r="158" spans="1:9" ht="12.75">
      <c r="A158" t="s">
        <v>1634</v>
      </c>
      <c r="B158" t="s">
        <v>1635</v>
      </c>
      <c r="C158" s="301">
        <v>70220745</v>
      </c>
      <c r="D158">
        <v>23</v>
      </c>
      <c r="F158" t="s">
        <v>1636</v>
      </c>
      <c r="G158" t="s">
        <v>1009</v>
      </c>
      <c r="H158" s="301">
        <v>524904730</v>
      </c>
      <c r="I158">
        <v>13</v>
      </c>
    </row>
    <row r="159" spans="1:9" ht="12.75">
      <c r="A159" t="s">
        <v>1637</v>
      </c>
      <c r="B159" t="s">
        <v>1638</v>
      </c>
      <c r="C159" s="301">
        <v>9362765</v>
      </c>
      <c r="D159">
        <v>23</v>
      </c>
      <c r="F159" t="s">
        <v>1639</v>
      </c>
      <c r="G159" t="s">
        <v>1640</v>
      </c>
      <c r="H159" s="301">
        <v>111720264</v>
      </c>
      <c r="I159">
        <v>13</v>
      </c>
    </row>
    <row r="160" spans="1:9" ht="12.75">
      <c r="A160" t="s">
        <v>1641</v>
      </c>
      <c r="B160" t="s">
        <v>1642</v>
      </c>
      <c r="C160" s="301">
        <v>51492283</v>
      </c>
      <c r="D160">
        <v>23</v>
      </c>
      <c r="F160" t="s">
        <v>1643</v>
      </c>
      <c r="G160" t="s">
        <v>1644</v>
      </c>
      <c r="H160" s="301">
        <v>44347623</v>
      </c>
      <c r="I160">
        <v>13</v>
      </c>
    </row>
    <row r="161" spans="1:9" ht="12.75">
      <c r="A161" t="s">
        <v>880</v>
      </c>
      <c r="B161" t="s">
        <v>1645</v>
      </c>
      <c r="C161" s="301">
        <v>66917057</v>
      </c>
      <c r="D161">
        <v>23</v>
      </c>
      <c r="F161" t="s">
        <v>1017</v>
      </c>
      <c r="G161" t="s">
        <v>1026</v>
      </c>
      <c r="H161" s="301">
        <v>76803928</v>
      </c>
      <c r="I161">
        <v>13</v>
      </c>
    </row>
    <row r="162" spans="1:9" ht="12.75">
      <c r="A162" t="s">
        <v>1646</v>
      </c>
      <c r="B162" t="s">
        <v>885</v>
      </c>
      <c r="C162" s="301">
        <v>192276411</v>
      </c>
      <c r="D162">
        <v>23</v>
      </c>
      <c r="F162" t="s">
        <v>1019</v>
      </c>
      <c r="G162" t="s">
        <v>1028</v>
      </c>
      <c r="H162" s="301">
        <v>185367469</v>
      </c>
      <c r="I162">
        <v>13</v>
      </c>
    </row>
    <row r="163" spans="1:9" ht="12.75">
      <c r="A163" t="s">
        <v>1647</v>
      </c>
      <c r="B163" t="s">
        <v>887</v>
      </c>
      <c r="C163" s="301">
        <v>258535613</v>
      </c>
      <c r="D163">
        <v>23</v>
      </c>
      <c r="F163" t="s">
        <v>1021</v>
      </c>
      <c r="G163" t="s">
        <v>1030</v>
      </c>
      <c r="H163" s="301">
        <v>141698583</v>
      </c>
      <c r="I163">
        <v>13</v>
      </c>
    </row>
    <row r="164" spans="1:9" ht="12.75">
      <c r="A164" t="s">
        <v>884</v>
      </c>
      <c r="B164" t="s">
        <v>1648</v>
      </c>
      <c r="C164" s="301">
        <v>141160041</v>
      </c>
      <c r="D164">
        <v>23</v>
      </c>
      <c r="F164" t="s">
        <v>1649</v>
      </c>
      <c r="G164" t="s">
        <v>1650</v>
      </c>
      <c r="H164" s="301">
        <v>293601882</v>
      </c>
      <c r="I164">
        <v>13</v>
      </c>
    </row>
    <row r="165" spans="1:9" ht="12.75">
      <c r="A165" t="s">
        <v>890</v>
      </c>
      <c r="B165" t="s">
        <v>1651</v>
      </c>
      <c r="C165" s="301">
        <v>32193592</v>
      </c>
      <c r="D165">
        <v>23</v>
      </c>
      <c r="F165" t="s">
        <v>1652</v>
      </c>
      <c r="G165" t="s">
        <v>1018</v>
      </c>
      <c r="H165" s="301">
        <v>165439976</v>
      </c>
      <c r="I165">
        <v>13</v>
      </c>
    </row>
    <row r="166" spans="1:9" ht="12.75">
      <c r="A166" t="s">
        <v>892</v>
      </c>
      <c r="B166" t="s">
        <v>1653</v>
      </c>
      <c r="C166" s="301">
        <v>101299652</v>
      </c>
      <c r="D166">
        <v>23</v>
      </c>
      <c r="F166" t="s">
        <v>1654</v>
      </c>
      <c r="G166" t="s">
        <v>1655</v>
      </c>
      <c r="H166" s="301">
        <v>70007413</v>
      </c>
      <c r="I166">
        <v>13</v>
      </c>
    </row>
    <row r="167" spans="1:9" ht="12.75">
      <c r="A167" t="s">
        <v>894</v>
      </c>
      <c r="B167" t="s">
        <v>1656</v>
      </c>
      <c r="C167" s="301">
        <v>19694345</v>
      </c>
      <c r="D167">
        <v>23</v>
      </c>
      <c r="F167" t="s">
        <v>1657</v>
      </c>
      <c r="G167" t="s">
        <v>1020</v>
      </c>
      <c r="H167" s="301">
        <v>133033178</v>
      </c>
      <c r="I167">
        <v>13</v>
      </c>
    </row>
    <row r="168" spans="1:9" ht="12.75">
      <c r="A168" t="s">
        <v>1658</v>
      </c>
      <c r="B168" t="s">
        <v>899</v>
      </c>
      <c r="C168" s="301">
        <v>65526804</v>
      </c>
      <c r="D168">
        <v>23</v>
      </c>
      <c r="F168" t="s">
        <v>1659</v>
      </c>
      <c r="G168" t="s">
        <v>1022</v>
      </c>
      <c r="H168" s="301">
        <v>51373413</v>
      </c>
      <c r="I168">
        <v>13</v>
      </c>
    </row>
    <row r="169" spans="1:9" ht="12.75">
      <c r="A169" t="s">
        <v>1660</v>
      </c>
      <c r="B169" t="s">
        <v>897</v>
      </c>
      <c r="C169" s="301">
        <v>64205612</v>
      </c>
      <c r="D169">
        <v>23</v>
      </c>
      <c r="F169" t="s">
        <v>1661</v>
      </c>
      <c r="G169" t="s">
        <v>1662</v>
      </c>
      <c r="H169" s="301">
        <v>134671407</v>
      </c>
      <c r="I169">
        <v>13</v>
      </c>
    </row>
    <row r="170" spans="1:12" ht="12.75">
      <c r="A170" t="s">
        <v>1663</v>
      </c>
      <c r="B170" t="s">
        <v>1664</v>
      </c>
      <c r="C170" s="301">
        <v>64590928</v>
      </c>
      <c r="D170">
        <v>23</v>
      </c>
      <c r="F170" s="19" t="s">
        <v>1031</v>
      </c>
      <c r="G170" s="19" t="s">
        <v>1032</v>
      </c>
      <c r="H170" s="310">
        <v>991664069</v>
      </c>
      <c r="I170" s="19">
        <v>13</v>
      </c>
      <c r="J170" s="310">
        <f>SUM(H151:H170)</f>
        <v>3894460629</v>
      </c>
      <c r="K170" s="62">
        <f>J170/O72*1000</f>
        <v>46.74758431941159</v>
      </c>
      <c r="L170" t="s">
        <v>13</v>
      </c>
    </row>
    <row r="171" spans="1:9" ht="12.75">
      <c r="A171" t="s">
        <v>900</v>
      </c>
      <c r="B171" t="s">
        <v>1665</v>
      </c>
      <c r="C171" s="301">
        <v>135303987</v>
      </c>
      <c r="D171">
        <v>23</v>
      </c>
      <c r="F171" t="s">
        <v>938</v>
      </c>
      <c r="G171" t="s">
        <v>939</v>
      </c>
      <c r="H171" s="301">
        <v>129507365</v>
      </c>
      <c r="I171">
        <v>23</v>
      </c>
    </row>
    <row r="172" spans="1:9" ht="12.75">
      <c r="A172" t="s">
        <v>902</v>
      </c>
      <c r="B172" t="s">
        <v>905</v>
      </c>
      <c r="C172" s="301">
        <v>50027654</v>
      </c>
      <c r="D172">
        <v>23</v>
      </c>
      <c r="F172" t="s">
        <v>1666</v>
      </c>
      <c r="G172" t="s">
        <v>1667</v>
      </c>
      <c r="H172" s="301">
        <v>24355908</v>
      </c>
      <c r="I172">
        <v>23</v>
      </c>
    </row>
    <row r="173" spans="1:9" ht="12.75">
      <c r="A173" t="s">
        <v>904</v>
      </c>
      <c r="B173" t="s">
        <v>1668</v>
      </c>
      <c r="C173" s="301">
        <v>102392206</v>
      </c>
      <c r="D173">
        <v>23</v>
      </c>
      <c r="F173" t="s">
        <v>1669</v>
      </c>
      <c r="G173" t="s">
        <v>1670</v>
      </c>
      <c r="H173" s="301">
        <v>99466934</v>
      </c>
      <c r="I173">
        <v>23</v>
      </c>
    </row>
    <row r="174" spans="1:9" ht="12.75">
      <c r="A174" t="s">
        <v>910</v>
      </c>
      <c r="B174" t="s">
        <v>909</v>
      </c>
      <c r="C174" s="301">
        <v>24435531</v>
      </c>
      <c r="D174">
        <v>23</v>
      </c>
      <c r="F174" t="s">
        <v>1671</v>
      </c>
      <c r="G174" t="s">
        <v>813</v>
      </c>
      <c r="H174" s="301">
        <v>140827244</v>
      </c>
      <c r="I174">
        <v>23</v>
      </c>
    </row>
    <row r="175" spans="1:9" ht="12.75">
      <c r="A175" t="s">
        <v>912</v>
      </c>
      <c r="B175" t="s">
        <v>1672</v>
      </c>
      <c r="C175" s="301">
        <v>24505610</v>
      </c>
      <c r="D175">
        <v>23</v>
      </c>
      <c r="F175" t="s">
        <v>1673</v>
      </c>
      <c r="G175" t="s">
        <v>809</v>
      </c>
      <c r="H175" s="301">
        <v>128510773</v>
      </c>
      <c r="I175">
        <v>23</v>
      </c>
    </row>
    <row r="176" spans="1:9" ht="12.75">
      <c r="A176" t="s">
        <v>1674</v>
      </c>
      <c r="B176" t="s">
        <v>911</v>
      </c>
      <c r="C176" s="301">
        <v>130746832</v>
      </c>
      <c r="D176">
        <v>23</v>
      </c>
      <c r="F176" t="s">
        <v>804</v>
      </c>
      <c r="G176" t="s">
        <v>807</v>
      </c>
      <c r="H176" s="301">
        <v>107890437</v>
      </c>
      <c r="I176">
        <v>23</v>
      </c>
    </row>
    <row r="177" spans="1:9" ht="12.75">
      <c r="A177" t="s">
        <v>1675</v>
      </c>
      <c r="B177" t="s">
        <v>1676</v>
      </c>
      <c r="C177" s="301">
        <v>35508244</v>
      </c>
      <c r="D177">
        <v>23</v>
      </c>
      <c r="F177" t="s">
        <v>1334</v>
      </c>
      <c r="G177" t="s">
        <v>805</v>
      </c>
      <c r="H177" s="301">
        <v>54129828</v>
      </c>
      <c r="I177">
        <v>23</v>
      </c>
    </row>
    <row r="178" spans="1:9" ht="12.75">
      <c r="A178" t="s">
        <v>918</v>
      </c>
      <c r="B178" t="s">
        <v>1679</v>
      </c>
      <c r="C178" s="301">
        <v>71161005</v>
      </c>
      <c r="D178">
        <v>23</v>
      </c>
      <c r="F178" t="s">
        <v>1677</v>
      </c>
      <c r="G178" t="s">
        <v>1678</v>
      </c>
      <c r="H178" s="301">
        <v>381711983</v>
      </c>
      <c r="I178">
        <v>23</v>
      </c>
    </row>
    <row r="179" spans="1:11" ht="12.75">
      <c r="A179" t="s">
        <v>1680</v>
      </c>
      <c r="B179" t="s">
        <v>921</v>
      </c>
      <c r="C179" s="301">
        <v>114800105</v>
      </c>
      <c r="D179">
        <v>23</v>
      </c>
      <c r="F179" t="s">
        <v>808</v>
      </c>
      <c r="G179" t="s">
        <v>819</v>
      </c>
      <c r="H179" s="301">
        <v>94003761</v>
      </c>
      <c r="I179">
        <v>23</v>
      </c>
      <c r="K179" s="4" t="s">
        <v>1767</v>
      </c>
    </row>
    <row r="180" spans="1:9" ht="12.75">
      <c r="A180" t="s">
        <v>1681</v>
      </c>
      <c r="B180" t="s">
        <v>927</v>
      </c>
      <c r="C180" s="301">
        <v>71422768</v>
      </c>
      <c r="D180">
        <v>23</v>
      </c>
      <c r="F180" t="s">
        <v>800</v>
      </c>
      <c r="G180" t="s">
        <v>801</v>
      </c>
      <c r="H180" s="301">
        <v>277393030</v>
      </c>
      <c r="I180">
        <v>23</v>
      </c>
    </row>
    <row r="181" spans="1:9" ht="12.75">
      <c r="A181" t="s">
        <v>1683</v>
      </c>
      <c r="B181" t="s">
        <v>1684</v>
      </c>
      <c r="C181" s="301">
        <v>158021220</v>
      </c>
      <c r="D181">
        <v>23</v>
      </c>
      <c r="F181" t="s">
        <v>802</v>
      </c>
      <c r="G181" t="s">
        <v>1682</v>
      </c>
      <c r="H181" s="301">
        <v>62188744</v>
      </c>
      <c r="I181">
        <v>23</v>
      </c>
    </row>
    <row r="182" spans="1:9" ht="12.75">
      <c r="A182" t="s">
        <v>1686</v>
      </c>
      <c r="B182" t="s">
        <v>1687</v>
      </c>
      <c r="C182" s="301">
        <v>73277161</v>
      </c>
      <c r="D182">
        <v>23</v>
      </c>
      <c r="F182" t="s">
        <v>1685</v>
      </c>
      <c r="G182" t="s">
        <v>773</v>
      </c>
      <c r="H182" s="301">
        <v>136394291</v>
      </c>
      <c r="I182">
        <v>23</v>
      </c>
    </row>
    <row r="183" spans="1:9" ht="12.75">
      <c r="A183" t="s">
        <v>1689</v>
      </c>
      <c r="B183" t="s">
        <v>1690</v>
      </c>
      <c r="C183" s="301">
        <v>120337929</v>
      </c>
      <c r="D183">
        <v>23</v>
      </c>
      <c r="F183" t="s">
        <v>742</v>
      </c>
      <c r="G183" t="s">
        <v>1688</v>
      </c>
      <c r="H183" s="301">
        <v>268789236</v>
      </c>
      <c r="I183">
        <v>23</v>
      </c>
    </row>
    <row r="184" spans="1:9" ht="12.75">
      <c r="A184" t="s">
        <v>1692</v>
      </c>
      <c r="B184" t="s">
        <v>967</v>
      </c>
      <c r="C184" s="301">
        <v>47767351</v>
      </c>
      <c r="D184">
        <v>23</v>
      </c>
      <c r="F184" t="s">
        <v>666</v>
      </c>
      <c r="G184" t="s">
        <v>1691</v>
      </c>
      <c r="H184" s="301">
        <v>93950765</v>
      </c>
      <c r="I184">
        <v>23</v>
      </c>
    </row>
    <row r="185" spans="1:9" ht="12.75">
      <c r="A185" t="s">
        <v>980</v>
      </c>
      <c r="B185" t="s">
        <v>983</v>
      </c>
      <c r="C185" s="301">
        <v>72978641</v>
      </c>
      <c r="D185">
        <v>23</v>
      </c>
      <c r="F185" t="s">
        <v>1693</v>
      </c>
      <c r="G185" t="s">
        <v>635</v>
      </c>
      <c r="H185" s="301">
        <v>83795633</v>
      </c>
      <c r="I185">
        <v>23</v>
      </c>
    </row>
    <row r="186" spans="1:9" ht="12.75">
      <c r="A186" t="s">
        <v>1695</v>
      </c>
      <c r="B186" t="s">
        <v>987</v>
      </c>
      <c r="C186" s="301">
        <v>66972093</v>
      </c>
      <c r="D186">
        <v>23</v>
      </c>
      <c r="F186" t="s">
        <v>1694</v>
      </c>
      <c r="G186" t="s">
        <v>625</v>
      </c>
      <c r="H186" s="301">
        <v>243353691</v>
      </c>
      <c r="I186">
        <v>23</v>
      </c>
    </row>
    <row r="187" spans="1:9" ht="12.75">
      <c r="A187" t="s">
        <v>988</v>
      </c>
      <c r="B187" t="s">
        <v>991</v>
      </c>
      <c r="C187" s="301">
        <v>68193657</v>
      </c>
      <c r="D187">
        <v>23</v>
      </c>
      <c r="F187" t="s">
        <v>596</v>
      </c>
      <c r="G187" t="s">
        <v>1696</v>
      </c>
      <c r="H187" s="301">
        <v>377840462</v>
      </c>
      <c r="I187">
        <v>23</v>
      </c>
    </row>
    <row r="188" spans="1:9" ht="12.75">
      <c r="A188" t="s">
        <v>992</v>
      </c>
      <c r="B188" t="s">
        <v>1698</v>
      </c>
      <c r="C188" s="301">
        <v>52391736</v>
      </c>
      <c r="D188">
        <v>23</v>
      </c>
      <c r="F188" t="s">
        <v>600</v>
      </c>
      <c r="G188" t="s">
        <v>1697</v>
      </c>
      <c r="H188" s="301">
        <v>448150434</v>
      </c>
      <c r="I188">
        <v>23</v>
      </c>
    </row>
    <row r="189" spans="1:9" ht="12.75">
      <c r="A189" t="s">
        <v>1699</v>
      </c>
      <c r="B189" t="s">
        <v>1700</v>
      </c>
      <c r="C189" s="301">
        <v>50437408</v>
      </c>
      <c r="D189">
        <v>23</v>
      </c>
      <c r="F189" t="s">
        <v>602</v>
      </c>
      <c r="G189" t="s">
        <v>605</v>
      </c>
      <c r="H189" s="301">
        <v>594485268</v>
      </c>
      <c r="I189">
        <v>23</v>
      </c>
    </row>
    <row r="190" spans="1:11" ht="12.75">
      <c r="A190" t="s">
        <v>1701</v>
      </c>
      <c r="B190" t="s">
        <v>1702</v>
      </c>
      <c r="C190" s="301">
        <v>59986199</v>
      </c>
      <c r="D190">
        <v>23</v>
      </c>
      <c r="F190" s="9" t="s">
        <v>608</v>
      </c>
      <c r="G190" s="9" t="s">
        <v>609</v>
      </c>
      <c r="H190" s="309">
        <v>399157440</v>
      </c>
      <c r="I190" s="9">
        <v>23</v>
      </c>
      <c r="J190" s="9"/>
      <c r="K190" s="9"/>
    </row>
    <row r="191" spans="1:12" ht="12.75">
      <c r="A191" t="s">
        <v>1703</v>
      </c>
      <c r="B191" t="s">
        <v>1704</v>
      </c>
      <c r="C191" s="301">
        <v>427636658</v>
      </c>
      <c r="D191">
        <v>23</v>
      </c>
      <c r="F191" s="19" t="s">
        <v>568</v>
      </c>
      <c r="G191" s="19" t="s">
        <v>569</v>
      </c>
      <c r="H191" s="310">
        <v>55116184</v>
      </c>
      <c r="I191" s="19">
        <v>23</v>
      </c>
      <c r="J191" s="310">
        <f>SUM(H171:H191)</f>
        <v>4201019411</v>
      </c>
      <c r="K191" s="62">
        <f>J191/O72*1000</f>
        <v>50.42739620496169</v>
      </c>
      <c r="L191" t="s">
        <v>13</v>
      </c>
    </row>
    <row r="192" spans="1:4" ht="12.75">
      <c r="A192" t="s">
        <v>1705</v>
      </c>
      <c r="B192" t="s">
        <v>1706</v>
      </c>
      <c r="C192" s="301">
        <v>439534584</v>
      </c>
      <c r="D192">
        <v>23</v>
      </c>
    </row>
    <row r="193" spans="1:11" ht="12.75">
      <c r="A193" t="s">
        <v>1707</v>
      </c>
      <c r="B193" t="s">
        <v>1708</v>
      </c>
      <c r="C193" s="301">
        <v>665085328</v>
      </c>
      <c r="D193">
        <v>23</v>
      </c>
      <c r="H193" t="s">
        <v>13</v>
      </c>
      <c r="I193" t="s">
        <v>13</v>
      </c>
      <c r="J193" s="301">
        <v>19649180364</v>
      </c>
      <c r="K193" t="s">
        <v>13</v>
      </c>
    </row>
    <row r="194" spans="1:4" ht="12.75">
      <c r="A194" s="4" t="s">
        <v>1037</v>
      </c>
      <c r="B194" s="4" t="s">
        <v>1038</v>
      </c>
      <c r="C194" s="311">
        <v>168703801</v>
      </c>
      <c r="D194" s="4">
        <v>23</v>
      </c>
    </row>
    <row r="195" spans="1:4" ht="12.75">
      <c r="A195" s="4" t="s">
        <v>1425</v>
      </c>
      <c r="B195" s="4" t="s">
        <v>1040</v>
      </c>
      <c r="C195" s="311">
        <v>210614917</v>
      </c>
      <c r="D195" s="4">
        <v>23</v>
      </c>
    </row>
    <row r="196" spans="1:4" ht="12.75">
      <c r="A196" s="328" t="s">
        <v>1428</v>
      </c>
      <c r="B196" s="328" t="s">
        <v>1042</v>
      </c>
      <c r="C196" s="329">
        <v>388597340</v>
      </c>
      <c r="D196" s="328">
        <v>23</v>
      </c>
    </row>
    <row r="197" spans="1:4" ht="12.75">
      <c r="A197" t="s">
        <v>1709</v>
      </c>
      <c r="B197" t="s">
        <v>1044</v>
      </c>
      <c r="C197" s="301">
        <v>107076319</v>
      </c>
      <c r="D197">
        <v>23</v>
      </c>
    </row>
    <row r="198" spans="1:4" ht="12.75">
      <c r="A198" t="s">
        <v>1045</v>
      </c>
      <c r="B198" t="s">
        <v>1046</v>
      </c>
      <c r="C198" s="301">
        <v>17758195</v>
      </c>
      <c r="D198">
        <v>23</v>
      </c>
    </row>
    <row r="199" spans="1:4" ht="12.75">
      <c r="A199" t="s">
        <v>1710</v>
      </c>
      <c r="B199" t="s">
        <v>1711</v>
      </c>
      <c r="C199" s="301">
        <v>19049563</v>
      </c>
      <c r="D199">
        <v>23</v>
      </c>
    </row>
    <row r="200" spans="1:4" ht="12.75">
      <c r="A200" t="s">
        <v>1712</v>
      </c>
      <c r="B200" t="s">
        <v>1713</v>
      </c>
      <c r="C200" s="301">
        <v>22661075</v>
      </c>
      <c r="D200">
        <v>23</v>
      </c>
    </row>
    <row r="201" spans="1:4" ht="12.75">
      <c r="A201" t="s">
        <v>1714</v>
      </c>
      <c r="B201" t="s">
        <v>1052</v>
      </c>
      <c r="C201" s="301">
        <v>32997720</v>
      </c>
      <c r="D201">
        <v>23</v>
      </c>
    </row>
    <row r="202" spans="1:4" ht="12.75">
      <c r="A202" t="s">
        <v>1715</v>
      </c>
      <c r="B202" t="s">
        <v>1058</v>
      </c>
      <c r="C202" s="301">
        <v>48113380</v>
      </c>
      <c r="D202">
        <v>23</v>
      </c>
    </row>
    <row r="203" spans="1:4" ht="12.75">
      <c r="A203" t="s">
        <v>1716</v>
      </c>
      <c r="B203" t="s">
        <v>1056</v>
      </c>
      <c r="C203" s="301">
        <v>52360448</v>
      </c>
      <c r="D203">
        <v>23</v>
      </c>
    </row>
    <row r="204" spans="1:4" ht="12.75">
      <c r="A204" t="s">
        <v>1717</v>
      </c>
      <c r="B204" t="s">
        <v>1066</v>
      </c>
      <c r="C204" s="301">
        <v>38261764</v>
      </c>
      <c r="D204">
        <v>23</v>
      </c>
    </row>
    <row r="205" spans="1:4" ht="12.75">
      <c r="A205" t="s">
        <v>1718</v>
      </c>
      <c r="B205" t="s">
        <v>1719</v>
      </c>
      <c r="C205" s="301">
        <v>36306364</v>
      </c>
      <c r="D205">
        <v>23</v>
      </c>
    </row>
    <row r="206" spans="1:4" ht="12.75">
      <c r="A206" t="s">
        <v>1720</v>
      </c>
      <c r="B206" t="s">
        <v>1080</v>
      </c>
      <c r="C206" s="301">
        <v>118254112</v>
      </c>
      <c r="D206">
        <v>23</v>
      </c>
    </row>
    <row r="207" spans="1:4" ht="12.75">
      <c r="A207" t="s">
        <v>1721</v>
      </c>
      <c r="B207" t="s">
        <v>1082</v>
      </c>
      <c r="C207" s="301">
        <v>83641958</v>
      </c>
      <c r="D207">
        <v>23</v>
      </c>
    </row>
    <row r="208" spans="1:4" ht="12.75">
      <c r="A208" t="s">
        <v>1722</v>
      </c>
      <c r="B208" t="s">
        <v>1084</v>
      </c>
      <c r="C208" s="301">
        <v>47497477</v>
      </c>
      <c r="D208">
        <v>23</v>
      </c>
    </row>
    <row r="209" spans="1:4" ht="12.75">
      <c r="A209" t="s">
        <v>1723</v>
      </c>
      <c r="B209" t="s">
        <v>1724</v>
      </c>
      <c r="C209" s="301">
        <v>28155742</v>
      </c>
      <c r="D209">
        <v>23</v>
      </c>
    </row>
    <row r="210" spans="1:4" ht="12.75">
      <c r="A210" t="s">
        <v>1725</v>
      </c>
      <c r="B210" t="s">
        <v>1074</v>
      </c>
      <c r="C210" s="301">
        <v>30705884</v>
      </c>
      <c r="D210">
        <v>23</v>
      </c>
    </row>
    <row r="211" spans="1:4" ht="12.75">
      <c r="A211" t="s">
        <v>1726</v>
      </c>
      <c r="B211" t="s">
        <v>1070</v>
      </c>
      <c r="C211" s="301">
        <v>23031352</v>
      </c>
      <c r="D211">
        <v>23</v>
      </c>
    </row>
    <row r="212" spans="1:4" ht="12.75">
      <c r="A212" t="s">
        <v>1727</v>
      </c>
      <c r="B212" t="s">
        <v>1060</v>
      </c>
      <c r="C212" s="301">
        <v>35770653</v>
      </c>
      <c r="D212">
        <v>23</v>
      </c>
    </row>
    <row r="213" spans="1:4" ht="12.75">
      <c r="A213" t="s">
        <v>1728</v>
      </c>
      <c r="B213" t="s">
        <v>1072</v>
      </c>
      <c r="C213" s="301">
        <v>85858339</v>
      </c>
      <c r="D213">
        <v>23</v>
      </c>
    </row>
    <row r="214" spans="1:4" ht="12.75">
      <c r="A214" t="s">
        <v>1729</v>
      </c>
      <c r="B214" t="s">
        <v>1730</v>
      </c>
      <c r="C214" s="301">
        <v>39333001</v>
      </c>
      <c r="D214">
        <v>23</v>
      </c>
    </row>
    <row r="215" spans="1:4" ht="12.75">
      <c r="A215" t="s">
        <v>1731</v>
      </c>
      <c r="B215" t="s">
        <v>1068</v>
      </c>
      <c r="C215" s="301">
        <v>191993297</v>
      </c>
      <c r="D215">
        <v>23</v>
      </c>
    </row>
    <row r="216" spans="1:4" ht="12.75">
      <c r="A216" t="s">
        <v>1732</v>
      </c>
      <c r="B216" t="s">
        <v>1076</v>
      </c>
      <c r="C216" s="301">
        <v>71197492</v>
      </c>
      <c r="D216">
        <v>23</v>
      </c>
    </row>
    <row r="217" spans="1:4" ht="12.75">
      <c r="A217" t="s">
        <v>1733</v>
      </c>
      <c r="B217" t="s">
        <v>1734</v>
      </c>
      <c r="C217" s="301">
        <v>58524333</v>
      </c>
      <c r="D217">
        <v>23</v>
      </c>
    </row>
    <row r="218" spans="1:4" ht="12.75">
      <c r="A218" t="s">
        <v>1091</v>
      </c>
      <c r="B218" t="s">
        <v>1735</v>
      </c>
      <c r="C218" s="301">
        <v>97232009</v>
      </c>
      <c r="D218">
        <v>23</v>
      </c>
    </row>
    <row r="219" spans="1:4" ht="12.75">
      <c r="A219" t="s">
        <v>1093</v>
      </c>
      <c r="B219" t="s">
        <v>1736</v>
      </c>
      <c r="C219" s="301">
        <v>135546378</v>
      </c>
      <c r="D219">
        <v>23</v>
      </c>
    </row>
    <row r="220" spans="1:4" ht="12.75">
      <c r="A220" t="s">
        <v>1737</v>
      </c>
      <c r="B220" t="s">
        <v>1738</v>
      </c>
      <c r="C220" s="301">
        <v>31279933</v>
      </c>
      <c r="D220">
        <v>23</v>
      </c>
    </row>
    <row r="221" spans="1:4" ht="12.75">
      <c r="A221" t="s">
        <v>1095</v>
      </c>
      <c r="B221" t="s">
        <v>1096</v>
      </c>
      <c r="C221" s="301">
        <v>37320349</v>
      </c>
      <c r="D221">
        <v>23</v>
      </c>
    </row>
    <row r="222" spans="1:4" ht="12.75">
      <c r="A222" t="s">
        <v>1099</v>
      </c>
      <c r="B222" t="s">
        <v>1098</v>
      </c>
      <c r="C222" s="301">
        <v>72095003</v>
      </c>
      <c r="D222">
        <v>23</v>
      </c>
    </row>
    <row r="223" spans="1:4" ht="12.75">
      <c r="A223" t="s">
        <v>1739</v>
      </c>
      <c r="B223" t="s">
        <v>1100</v>
      </c>
      <c r="C223" s="301">
        <v>55156968</v>
      </c>
      <c r="D223">
        <v>23</v>
      </c>
    </row>
    <row r="224" spans="1:4" ht="12.75">
      <c r="A224" t="s">
        <v>1740</v>
      </c>
      <c r="B224" t="s">
        <v>1106</v>
      </c>
      <c r="C224" s="301">
        <v>38845385</v>
      </c>
      <c r="D224">
        <v>23</v>
      </c>
    </row>
    <row r="225" spans="1:5" ht="12.75">
      <c r="A225" t="s">
        <v>1111</v>
      </c>
      <c r="B225" t="s">
        <v>1112</v>
      </c>
      <c r="C225" s="301">
        <v>64194496</v>
      </c>
      <c r="D225">
        <v>23</v>
      </c>
      <c r="E225" t="s">
        <v>1741</v>
      </c>
    </row>
    <row r="226" spans="1:4" ht="12.75">
      <c r="A226" t="s">
        <v>1742</v>
      </c>
      <c r="B226" t="s">
        <v>1743</v>
      </c>
      <c r="C226" s="301">
        <v>76565327</v>
      </c>
      <c r="D226">
        <v>23</v>
      </c>
    </row>
    <row r="227" spans="1:4" ht="12.75">
      <c r="A227" t="s">
        <v>1113</v>
      </c>
      <c r="B227" t="s">
        <v>1114</v>
      </c>
      <c r="C227" s="301">
        <v>96123726</v>
      </c>
      <c r="D227">
        <v>23</v>
      </c>
    </row>
    <row r="228" spans="1:4" ht="12.75">
      <c r="A228" t="s">
        <v>1115</v>
      </c>
      <c r="B228" t="s">
        <v>1744</v>
      </c>
      <c r="C228" s="301">
        <v>237934055</v>
      </c>
      <c r="D228">
        <v>23</v>
      </c>
    </row>
    <row r="229" spans="1:4" ht="12.75">
      <c r="A229" t="s">
        <v>1117</v>
      </c>
      <c r="B229" t="s">
        <v>1745</v>
      </c>
      <c r="C229" s="301">
        <v>160285287</v>
      </c>
      <c r="D229">
        <v>23</v>
      </c>
    </row>
    <row r="230" spans="1:6" ht="12.75">
      <c r="A230" s="19" t="s">
        <v>1746</v>
      </c>
      <c r="B230" s="19" t="s">
        <v>1747</v>
      </c>
      <c r="C230" s="310">
        <v>30902808</v>
      </c>
      <c r="D230" s="19">
        <v>23</v>
      </c>
      <c r="E230" s="310">
        <f>SUM(C1:C230)</f>
        <v>34802578622</v>
      </c>
      <c r="F230" s="62">
        <f>E230/O72*1000</f>
        <v>417.7565608315452</v>
      </c>
    </row>
  </sheetData>
  <sheetProtection/>
  <printOptions/>
  <pageMargins left="0.31496062992125984" right="0.31496062992125984" top="0.15748031496062992"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lehtinei</dc:creator>
  <cp:keywords/>
  <dc:description/>
  <cp:lastModifiedBy>Kahra</cp:lastModifiedBy>
  <cp:lastPrinted>2012-03-22T09:42:19Z</cp:lastPrinted>
  <dcterms:created xsi:type="dcterms:W3CDTF">1999-11-16T05:51:36Z</dcterms:created>
  <dcterms:modified xsi:type="dcterms:W3CDTF">2012-03-26T09:19:20Z</dcterms:modified>
  <cp:category/>
  <cp:version/>
  <cp:contentType/>
  <cp:contentStatus/>
</cp:coreProperties>
</file>